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Rick Marken\Dropbox\Spreadsheet Workshop\"/>
    </mc:Choice>
  </mc:AlternateContent>
  <xr:revisionPtr revIDLastSave="0" documentId="13_ncr:1_{04361C12-4244-4BD6-9F18-EB7BFBBE01BB}" xr6:coauthVersionLast="47" xr6:coauthVersionMax="47" xr10:uidLastSave="{00000000-0000-0000-0000-000000000000}"/>
  <bookViews>
    <workbookView xWindow="2610" yWindow="370" windowWidth="14860" windowHeight="9070" xr2:uid="{00000000-000D-0000-FFFF-FFFF00000000}"/>
  </bookViews>
  <sheets>
    <sheet name="New Hierarchical Control Model" sheetId="3" r:id="rId1"/>
  </sheets>
  <definedNames>
    <definedName name="_PWi1" localSheetId="0">'New Hierarchical Control Model'!$N$10</definedName>
    <definedName name="_PWi1">#REF!</definedName>
    <definedName name="_PWi2" localSheetId="0">'New Hierarchical Control Model'!$N$11</definedName>
    <definedName name="_PWi2">#REF!</definedName>
    <definedName name="_PWi3" localSheetId="0">'New Hierarchical Control Model'!$N$12</definedName>
    <definedName name="_PWi3">#REF!</definedName>
    <definedName name="_PWi4" localSheetId="0">'New Hierarchical Control Model'!$N$13</definedName>
    <definedName name="_PWi4">#REF!</definedName>
    <definedName name="_PWi5" localSheetId="0">'New Hierarchical Control Model'!$N$14</definedName>
    <definedName name="_PWi5">#REF!</definedName>
    <definedName name="_PWi6" localSheetId="0">'New Hierarchical Control Model'!$N$15</definedName>
    <definedName name="_PWi6">#REF!</definedName>
    <definedName name="D" localSheetId="0">'New Hierarchical Control Model'!#REF!</definedName>
    <definedName name="D">#REF!</definedName>
    <definedName name="disturbance" localSheetId="0">'New Hierarchical Control Model'!#REF!</definedName>
    <definedName name="disturbance">#REF!</definedName>
    <definedName name="Gain1">'New Hierarchical Control Model'!$C$13</definedName>
    <definedName name="Gain2">'New Hierarchical Control Model'!$C$9</definedName>
    <definedName name="Gain3">'New Hierarchical Control Model'!$C$5</definedName>
    <definedName name="O1.1">'New Hierarchical Control Model'!$E$13</definedName>
    <definedName name="O1.2">'New Hierarchical Control Model'!$F$13</definedName>
    <definedName name="O1.3">'New Hierarchical Control Model'!$G$13</definedName>
    <definedName name="O1.4">'New Hierarchical Control Model'!$H$13</definedName>
    <definedName name="O1.5">'New Hierarchical Control Model'!$I$13</definedName>
    <definedName name="O1.6">'New Hierarchical Control Model'!$J$13</definedName>
    <definedName name="O2.1">'New Hierarchical Control Model'!$E$9</definedName>
    <definedName name="O2.2">'New Hierarchical Control Model'!$F$9</definedName>
    <definedName name="O2.3">'New Hierarchical Control Model'!$G$9</definedName>
    <definedName name="O2.4">'New Hierarchical Control Model'!$H$9</definedName>
    <definedName name="O2.5">'New Hierarchical Control Model'!$I$9</definedName>
    <definedName name="O2.6">'New Hierarchical Control Model'!$J$9</definedName>
    <definedName name="O2i" localSheetId="0">'New Hierarchical Control Model'!$E$9:$J$9</definedName>
    <definedName name="O2i">#REF!</definedName>
    <definedName name="O3.1">'New Hierarchical Control Model'!$E$5</definedName>
    <definedName name="O3.2">'New Hierarchical Control Model'!$F$5</definedName>
    <definedName name="O3.3">'New Hierarchical Control Model'!$G$5</definedName>
    <definedName name="O3.4">'New Hierarchical Control Model'!$H$5</definedName>
    <definedName name="O3.5">'New Hierarchical Control Model'!$I$5</definedName>
    <definedName name="O3.6">'New Hierarchical Control Model'!$J$5</definedName>
    <definedName name="Omlt1" localSheetId="0">'New Hierarchical Control Model'!$AC$9:$AC$14</definedName>
    <definedName name="Omlt1">#REF!</definedName>
    <definedName name="Omlt2" localSheetId="0">'New Hierarchical Control Model'!$AD$9:$AD$14</definedName>
    <definedName name="Omlt2">#REF!</definedName>
    <definedName name="Omlt3" localSheetId="0">'New Hierarchical Control Model'!$AE$9:$AE$14</definedName>
    <definedName name="Omlt3">#REF!</definedName>
    <definedName name="Omlt4" localSheetId="0">'New Hierarchical Control Model'!$AF$9:$AF$14</definedName>
    <definedName name="Omlt4">#REF!</definedName>
    <definedName name="Omlt5" localSheetId="0">'New Hierarchical Control Model'!$AG$9:$AG$14</definedName>
    <definedName name="Omlt5">#REF!</definedName>
    <definedName name="Omlt6" localSheetId="0">'New Hierarchical Control Model'!$AH$9:$AH$14</definedName>
    <definedName name="Omlt6">#REF!</definedName>
    <definedName name="P1.1">'New Hierarchical Control Model'!$E$12</definedName>
    <definedName name="P1.2">'New Hierarchical Control Model'!$F$12</definedName>
    <definedName name="P1.3">'New Hierarchical Control Model'!$G$12</definedName>
    <definedName name="P1.4">'New Hierarchical Control Model'!$H$12</definedName>
    <definedName name="P1.5">'New Hierarchical Control Model'!$I$12</definedName>
    <definedName name="P1.6">'New Hierarchical Control Model'!$J$12</definedName>
    <definedName name="P1i" localSheetId="0">'New Hierarchical Control Model'!$E$12:$J$12</definedName>
    <definedName name="P1i">#REF!</definedName>
    <definedName name="P1ip" localSheetId="0">'New Hierarchical Control Model'!#REF!</definedName>
    <definedName name="P1ip">#REF!</definedName>
    <definedName name="P2.1">'New Hierarchical Control Model'!$E$8</definedName>
    <definedName name="P2.2">'New Hierarchical Control Model'!$F$8</definedName>
    <definedName name="P2.3">'New Hierarchical Control Model'!$G$8</definedName>
    <definedName name="P2.4">'New Hierarchical Control Model'!$H$8</definedName>
    <definedName name="P2.5">'New Hierarchical Control Model'!$I$8</definedName>
    <definedName name="P2.6">'New Hierarchical Control Model'!$J$8</definedName>
    <definedName name="P3.1">'New Hierarchical Control Model'!$E$4</definedName>
    <definedName name="P3.2">'New Hierarchical Control Model'!$F$4</definedName>
    <definedName name="P3.3">'New Hierarchical Control Model'!$G$4</definedName>
    <definedName name="P3.4">'New Hierarchical Control Model'!$H$4</definedName>
    <definedName name="P3.5">'New Hierarchical Control Model'!$I$4</definedName>
    <definedName name="P3.6">'New Hierarchical Control Model'!$J$4</definedName>
    <definedName name="Pmlt1" localSheetId="0">'New Hierarchical Control Model'!$AC$2:$AC$7</definedName>
    <definedName name="Pmlt1">#REF!</definedName>
    <definedName name="Pmlt2" localSheetId="0">'New Hierarchical Control Model'!$AD$2:$AD$7</definedName>
    <definedName name="Pmlt2">#REF!</definedName>
    <definedName name="Pmlt3" localSheetId="0">'New Hierarchical Control Model'!$AE$2:$AE$7</definedName>
    <definedName name="Pmlt3">#REF!</definedName>
    <definedName name="Pmlt4" localSheetId="0">'New Hierarchical Control Model'!$AF$2:$AF$7</definedName>
    <definedName name="Pmlt4">#REF!</definedName>
    <definedName name="Pmlt5" localSheetId="0">'New Hierarchical Control Model'!$AG$2:$AG$7</definedName>
    <definedName name="Pmlt5">#REF!</definedName>
    <definedName name="Pmlt6" localSheetId="0">'New Hierarchical Control Model'!$AH$2:$AH$7</definedName>
    <definedName name="Pmlt6">#REF!</definedName>
    <definedName name="pR1.1">'New Hierarchical Control Model'!$E$11</definedName>
    <definedName name="pR1.2">'New Hierarchical Control Model'!$F$11</definedName>
    <definedName name="pR1.3">'New Hierarchical Control Model'!$G$11</definedName>
    <definedName name="pR1.4">'New Hierarchical Control Model'!$H$11</definedName>
    <definedName name="pR1.5">'New Hierarchical Control Model'!$I$11</definedName>
    <definedName name="pR1.6">'New Hierarchical Control Model'!$J$11</definedName>
    <definedName name="pR2.1">'New Hierarchical Control Model'!$E$7</definedName>
    <definedName name="pR2.2">'New Hierarchical Control Model'!$F$7</definedName>
    <definedName name="pR2.3">'New Hierarchical Control Model'!$G$7</definedName>
    <definedName name="pR2.4">'New Hierarchical Control Model'!$H$7</definedName>
    <definedName name="pR2.5">'New Hierarchical Control Model'!$I$7</definedName>
    <definedName name="pR2.6">'New Hierarchical Control Model'!$J$7</definedName>
    <definedName name="pR3.1">'New Hierarchical Control Model'!$E$3</definedName>
    <definedName name="pR3.2">'New Hierarchical Control Model'!$F$3</definedName>
    <definedName name="pR3.3">'New Hierarchical Control Model'!$G$3</definedName>
    <definedName name="pR3.4">'New Hierarchical Control Model'!$H$3</definedName>
    <definedName name="pR3.5">'New Hierarchical Control Model'!$I$3</definedName>
    <definedName name="pR3.6">'New Hierarchical Control Model'!$J$3</definedName>
    <definedName name="_xlnm.Print_Area" localSheetId="0">'New Hierarchical Control Model'!$1:$14</definedName>
    <definedName name="_xlnm.Print_Area">#REF!</definedName>
    <definedName name="PW" localSheetId="0">'New Hierarchical Control Model'!$S$1:$X$64</definedName>
    <definedName name="PW">#REF!</definedName>
    <definedName name="Slow1">'New Hierarchical Control Model'!$B$13</definedName>
    <definedName name="Slow2">'New Hierarchical Control Model'!$B$9</definedName>
    <definedName name="Slow3">'New Hierarchical Control Model'!$B$5</definedName>
    <definedName name="v.1">'New Hierarchical Control Model'!$E$15</definedName>
    <definedName name="v.2">'New Hierarchical Control Model'!$F$15</definedName>
    <definedName name="v.3">'New Hierarchical Control Model'!$G$15</definedName>
    <definedName name="v.4">'New Hierarchical Control Model'!$H$15</definedName>
    <definedName name="v.5">'New Hierarchical Control Model'!$I$15</definedName>
    <definedName name="v.6">'New Hierarchical Control Model'!$J$15</definedName>
  </definedNames>
  <calcPr calcId="191028" calcMode="manual" iterate="1" iterateCount="2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4" i="3" l="1"/>
  <c r="AG14" i="3"/>
  <c r="AF14" i="3"/>
  <c r="AE14" i="3"/>
  <c r="AD14" i="3"/>
  <c r="AC14" i="3"/>
  <c r="AH13" i="3"/>
  <c r="AG13" i="3"/>
  <c r="AF13" i="3"/>
  <c r="AE13" i="3"/>
  <c r="AD13" i="3"/>
  <c r="AC13" i="3"/>
  <c r="AH12" i="3"/>
  <c r="AG12" i="3"/>
  <c r="AF12" i="3"/>
  <c r="AE12" i="3"/>
  <c r="AD12" i="3"/>
  <c r="AC12" i="3"/>
  <c r="AH11" i="3"/>
  <c r="AG11" i="3"/>
  <c r="AF11" i="3"/>
  <c r="AE11" i="3"/>
  <c r="AD11" i="3"/>
  <c r="AC11" i="3"/>
  <c r="AH10" i="3"/>
  <c r="AG10" i="3"/>
  <c r="AF10" i="3"/>
  <c r="AE10" i="3"/>
  <c r="AD10" i="3"/>
  <c r="AC10" i="3"/>
  <c r="AH9" i="3"/>
  <c r="AG9" i="3"/>
  <c r="AF9" i="3"/>
  <c r="AE9" i="3"/>
  <c r="AD9" i="3"/>
  <c r="AC9" i="3"/>
  <c r="AH7" i="3"/>
  <c r="AG7" i="3"/>
  <c r="AF7" i="3"/>
  <c r="AE7" i="3"/>
  <c r="AD7" i="3"/>
  <c r="AC7" i="3"/>
  <c r="AH6" i="3"/>
  <c r="AG6" i="3"/>
  <c r="AF6" i="3"/>
  <c r="AE6" i="3"/>
  <c r="AD6" i="3"/>
  <c r="AC6" i="3"/>
  <c r="AH5" i="3"/>
  <c r="AG5" i="3"/>
  <c r="AF5" i="3"/>
  <c r="AE5" i="3"/>
  <c r="AD5" i="3"/>
  <c r="AC5" i="3"/>
  <c r="AH4" i="3"/>
  <c r="AG4" i="3"/>
  <c r="AF4" i="3"/>
  <c r="AE4" i="3"/>
  <c r="AD4" i="3"/>
  <c r="AC4" i="3"/>
  <c r="AH3" i="3"/>
  <c r="AG3" i="3"/>
  <c r="AF3" i="3"/>
  <c r="AE3" i="3"/>
  <c r="AD3" i="3"/>
  <c r="AC3" i="3"/>
  <c r="AH2" i="3"/>
  <c r="AG2" i="3"/>
  <c r="AF2" i="3"/>
  <c r="AE2" i="3"/>
  <c r="AD2" i="3"/>
  <c r="AC2" i="3"/>
  <c r="E4" i="3"/>
  <c r="F4" i="3"/>
  <c r="G4" i="3"/>
  <c r="H4" i="3"/>
  <c r="I4" i="3"/>
  <c r="J4" i="3"/>
  <c r="K4" i="3"/>
  <c r="E5" i="3"/>
  <c r="F5" i="3"/>
  <c r="G5" i="3"/>
  <c r="H5" i="3"/>
  <c r="I5" i="3"/>
  <c r="J5" i="3"/>
  <c r="E7" i="3"/>
  <c r="F7" i="3"/>
  <c r="G7" i="3"/>
  <c r="H7" i="3"/>
  <c r="I7" i="3"/>
  <c r="J7" i="3"/>
  <c r="E8" i="3"/>
  <c r="F8" i="3"/>
  <c r="G8" i="3"/>
  <c r="H8" i="3"/>
  <c r="I8" i="3"/>
  <c r="J8" i="3"/>
  <c r="K8" i="3"/>
  <c r="E9" i="3"/>
  <c r="F9" i="3"/>
  <c r="G9" i="3"/>
  <c r="H9" i="3"/>
  <c r="I9" i="3"/>
  <c r="J9" i="3"/>
  <c r="E11" i="3"/>
  <c r="F11" i="3"/>
  <c r="G11" i="3"/>
  <c r="H11" i="3"/>
  <c r="I11" i="3"/>
  <c r="J11" i="3"/>
  <c r="E12" i="3" a="1"/>
  <c r="E12" i="3"/>
  <c r="F12" i="3" a="1"/>
  <c r="F12" i="3"/>
  <c r="G12" i="3" a="1"/>
  <c r="G12" i="3"/>
  <c r="H12" i="3" a="1"/>
  <c r="H12" i="3"/>
  <c r="I12" i="3" a="1"/>
  <c r="I12" i="3"/>
  <c r="J12" i="3" a="1"/>
  <c r="J12" i="3"/>
  <c r="K12" i="3"/>
  <c r="E13" i="3"/>
  <c r="F13" i="3"/>
  <c r="G13" i="3"/>
  <c r="H13" i="3"/>
  <c r="I13" i="3"/>
  <c r="J13" i="3"/>
  <c r="E15" i="3"/>
  <c r="F15" i="3"/>
  <c r="G15" i="3"/>
  <c r="H15" i="3"/>
  <c r="I15" i="3"/>
  <c r="J15" i="3"/>
  <c r="E17" i="3"/>
  <c r="F17" i="3"/>
  <c r="G17" i="3"/>
  <c r="H17" i="3"/>
  <c r="I17" i="3"/>
  <c r="J17" i="3"/>
  <c r="E19" i="3"/>
  <c r="F19" i="3"/>
  <c r="G19" i="3"/>
  <c r="H19" i="3"/>
  <c r="I19" i="3"/>
  <c r="J19" i="3"/>
  <c r="E20" i="3"/>
  <c r="F20" i="3"/>
  <c r="G20" i="3"/>
  <c r="H20" i="3"/>
  <c r="I20" i="3"/>
  <c r="J20" i="3"/>
  <c r="E21" i="3"/>
  <c r="F21" i="3"/>
  <c r="G21" i="3"/>
  <c r="H21" i="3"/>
  <c r="I21" i="3"/>
  <c r="J21" i="3"/>
  <c r="E22" i="3"/>
  <c r="F22" i="3"/>
  <c r="G22" i="3"/>
  <c r="H22" i="3"/>
  <c r="I22" i="3"/>
  <c r="J22" i="3"/>
  <c r="AC22" i="3"/>
  <c r="AD22" i="3"/>
  <c r="AE22" i="3"/>
  <c r="AF22" i="3"/>
  <c r="AG22" i="3"/>
  <c r="AH22" i="3"/>
  <c r="E23" i="3"/>
  <c r="F23" i="3"/>
  <c r="G23" i="3"/>
  <c r="H23" i="3"/>
  <c r="I23" i="3"/>
  <c r="J23" i="3"/>
  <c r="AC23" i="3"/>
  <c r="AD23" i="3"/>
  <c r="AE23" i="3"/>
  <c r="AF23" i="3"/>
  <c r="AG23" i="3"/>
  <c r="AH23" i="3"/>
  <c r="AC24" i="3"/>
  <c r="AD24" i="3"/>
  <c r="AE24" i="3"/>
  <c r="AF24" i="3"/>
  <c r="AG24" i="3"/>
  <c r="AH24" i="3"/>
  <c r="AC25" i="3"/>
  <c r="AD25" i="3"/>
  <c r="AE25" i="3"/>
  <c r="AF25" i="3"/>
  <c r="AG25" i="3"/>
  <c r="AH25" i="3"/>
  <c r="AC26" i="3"/>
  <c r="AD26" i="3"/>
  <c r="AE26" i="3"/>
  <c r="AF26" i="3"/>
  <c r="AG26" i="3"/>
  <c r="AH26" i="3"/>
  <c r="AC30" i="3"/>
  <c r="AD30" i="3"/>
  <c r="AE30" i="3"/>
  <c r="AF30" i="3"/>
  <c r="AG30" i="3"/>
  <c r="AH30" i="3"/>
  <c r="AC31" i="3"/>
  <c r="AD31" i="3"/>
  <c r="AE31" i="3"/>
  <c r="AF31" i="3"/>
  <c r="AG31" i="3"/>
  <c r="AH3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Rick Marken</author>
  </authors>
  <commentList>
    <comment ref="D4" authorId="0" shapeId="0" xr:uid="{9B3FFB10-5CD8-472F-A0AE-F9EF8AFB1230}">
      <text>
        <r>
          <rPr>
            <sz val="8"/>
            <color indexed="81"/>
            <rFont val="Tahoma"/>
            <family val="2"/>
          </rPr>
          <t>Perceptual Function:
P(3,1) = 
If (Logic (P(2,i),P(2,j)) 
=True Then 1 Else 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0" shapeId="0" xr:uid="{6D465057-5081-44BE-8E71-ABCFDC09BF8C}">
      <text>
        <r>
          <rPr>
            <sz val="8"/>
            <color indexed="81"/>
            <rFont val="Tahoma"/>
            <family val="2"/>
          </rPr>
          <t>Perceptual Function:
P(2,i) = k1*P(1,1) +
k2*P(1,2)… + k6*P(1,6)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2" authorId="0" shapeId="0" xr:uid="{C770050B-D434-459F-9C2E-3E8DEFD3D293}">
      <text>
        <r>
          <rPr>
            <sz val="9"/>
            <color indexed="81"/>
            <rFont val="Tahoma"/>
            <family val="2"/>
          </rPr>
          <t>Perceptual function:
P(1,i) = ki*v(i)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<sst xmlns="http://schemas.openxmlformats.org/spreadsheetml/2006/main" count="87" uniqueCount="56">
  <si>
    <t xml:space="preserve">System </t>
  </si>
  <si>
    <t>Average Error</t>
  </si>
  <si>
    <t>Level 1 Input Functions (1-6)</t>
  </si>
  <si>
    <t>Level 2</t>
  </si>
  <si>
    <t>Pmlt1</t>
  </si>
  <si>
    <t>Pmlt2</t>
  </si>
  <si>
    <t>Pmlt3</t>
  </si>
  <si>
    <t>Pmlt4</t>
  </si>
  <si>
    <t>Pmlt5</t>
  </si>
  <si>
    <t>Pmlt6</t>
  </si>
  <si>
    <t xml:space="preserve"> </t>
  </si>
  <si>
    <t>*=imagine</t>
  </si>
  <si>
    <t xml:space="preserve">System 1 </t>
  </si>
  <si>
    <t>Perceptual Weights Matrix</t>
  </si>
  <si>
    <t>Slowing</t>
  </si>
  <si>
    <t>Gain</t>
  </si>
  <si>
    <t>R(3,i)</t>
  </si>
  <si>
    <t>System 2</t>
  </si>
  <si>
    <t>Level 3</t>
  </si>
  <si>
    <t>P(3,i)</t>
  </si>
  <si>
    <t>System 3</t>
  </si>
  <si>
    <t>O(3,i)</t>
  </si>
  <si>
    <t xml:space="preserve">System 4 </t>
  </si>
  <si>
    <t>System 5</t>
  </si>
  <si>
    <t>R(2,i)</t>
  </si>
  <si>
    <t xml:space="preserve">System 6 </t>
  </si>
  <si>
    <t>P(2,i)</t>
  </si>
  <si>
    <t>Omlt1</t>
  </si>
  <si>
    <t>Omlt2</t>
  </si>
  <si>
    <t>Omlt3</t>
  </si>
  <si>
    <t>Omlt4</t>
  </si>
  <si>
    <t>Omlt5</t>
  </si>
  <si>
    <t>Omlt6</t>
  </si>
  <si>
    <t>O(2,i)</t>
  </si>
  <si>
    <t>Level 2 Input Function Indexes (1-64)</t>
  </si>
  <si>
    <t>System 1</t>
  </si>
  <si>
    <t>R(1,i)</t>
  </si>
  <si>
    <t>Level 1</t>
  </si>
  <si>
    <t>P(1,i)</t>
  </si>
  <si>
    <t>O(1,i)</t>
  </si>
  <si>
    <t>System 4</t>
  </si>
  <si>
    <t xml:space="preserve">Environment </t>
  </si>
  <si>
    <t>v (i)</t>
  </si>
  <si>
    <t>System 6</t>
  </si>
  <si>
    <t>Input Variables, v(i)</t>
  </si>
  <si>
    <t>and Disturbances, D(i)</t>
  </si>
  <si>
    <t>D(i)</t>
  </si>
  <si>
    <t>Behavior</t>
  </si>
  <si>
    <t xml:space="preserve">Disturbance </t>
  </si>
  <si>
    <t>Controlled Variables,Q(i)</t>
  </si>
  <si>
    <t>Q(i)</t>
  </si>
  <si>
    <t>Cycle</t>
  </si>
  <si>
    <t>and Side Effects</t>
  </si>
  <si>
    <t>Seed</t>
  </si>
  <si>
    <t>Side</t>
  </si>
  <si>
    <t>Effects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</si>
</sst>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7">
    <font>
      <sz val="9"/>
      <name val="Geneva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/>
    <xf numFmtId="2" fontId="1" fillId="0" borderId="0" xfId="0" applyNumberFormat="1" applyFont="1" applyAlignment="1">
      <alignment horizontal="right"/>
    </xf>
    <xf numFmtId="2" fontId="1" fillId="0" borderId="0" xfId="0" applyNumberFormat="1" applyFont="1"/>
    <xf numFmtId="1" fontId="1" fillId="0" borderId="0" xfId="0" applyNumberFormat="1" applyFont="1"/>
    <xf numFmtId="0" fontId="2" fillId="0" borderId="0" xfId="0" applyFont="1"/>
    <xf numFmtId="0" fontId="1" fillId="0" borderId="5" xfId="0" applyFont="1" applyBorder="1" applyAlignment="1">
      <alignment horizontal="left"/>
    </xf>
    <xf numFmtId="2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3" fillId="0" borderId="0" xfId="0" applyNumberFormat="1" applyFont="1"/>
    <xf numFmtId="0" fontId="1" fillId="0" borderId="6" xfId="0" applyFont="1" applyBorder="1"/>
    <xf numFmtId="0" fontId="1" fillId="2" borderId="6" xfId="0" applyFont="1" applyFill="1" applyBorder="1"/>
    <xf numFmtId="0" fontId="2" fillId="0" borderId="7" xfId="0" applyFont="1" applyBorder="1"/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/>
    <xf numFmtId="164" fontId="1" fillId="0" borderId="0" xfId="0" applyNumberFormat="1" applyFont="1"/>
    <xf numFmtId="1" fontId="1" fillId="2" borderId="3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/>
    <xf numFmtId="0" fontId="2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5" xfId="0" applyNumberFormat="1" applyFont="1" applyBorder="1"/>
    <xf numFmtId="2" fontId="3" fillId="0" borderId="0" xfId="0" applyNumberFormat="1" applyFont="1" applyBorder="1"/>
    <xf numFmtId="2" fontId="3" fillId="0" borderId="12" xfId="0" applyNumberFormat="1" applyFont="1" applyBorder="1"/>
    <xf numFmtId="2" fontId="3" fillId="0" borderId="13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0" fontId="3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2" fontId="1" fillId="3" borderId="0" xfId="0" applyNumberFormat="1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2" fontId="1" fillId="0" borderId="0" xfId="0" applyNumberFormat="1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2" fontId="2" fillId="0" borderId="15" xfId="0" applyNumberFormat="1" applyFont="1" applyBorder="1" applyAlignment="1">
      <alignment horizontal="right"/>
    </xf>
    <xf numFmtId="2" fontId="1" fillId="0" borderId="7" xfId="0" applyNumberFormat="1" applyFont="1" applyBorder="1" applyAlignment="1">
      <alignment horizontal="right"/>
    </xf>
    <xf numFmtId="1" fontId="1" fillId="3" borderId="5" xfId="0" applyNumberFormat="1" applyFont="1" applyFill="1" applyBorder="1" applyAlignment="1">
      <alignment horizontal="center"/>
    </xf>
    <xf numFmtId="2" fontId="1" fillId="0" borderId="14" xfId="0" applyNumberFormat="1" applyFont="1" applyBorder="1" applyAlignment="1">
      <alignment horizontal="right"/>
    </xf>
    <xf numFmtId="0" fontId="1" fillId="4" borderId="6" xfId="0" applyFont="1" applyFill="1" applyBorder="1" applyAlignment="1">
      <alignment horizontal="center"/>
    </xf>
    <xf numFmtId="0" fontId="1" fillId="4" borderId="6" xfId="0" applyFont="1" applyFill="1" applyBorder="1"/>
    <xf numFmtId="0" fontId="1" fillId="0" borderId="17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2" fontId="1" fillId="3" borderId="1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1" fontId="1" fillId="0" borderId="16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330732</xdr:colOff>
      <xdr:row>7</xdr:row>
      <xdr:rowOff>78186</xdr:rowOff>
    </xdr:from>
    <xdr:to>
      <xdr:col>3</xdr:col>
      <xdr:colOff>536710</xdr:colOff>
      <xdr:row>19</xdr:row>
      <xdr:rowOff>66146</xdr:rowOff>
    </xdr:to>
    <xdr:cxnSp macro="">
      <xdr:nvCxnSpPr>
        <xdr:cNvPr id="6" name="Elbow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rot="5400000" flipH="1" flipV="1">
          <a:off x="1537762" y="2056078"/>
          <a:ext cx="1840044" cy="205978"/>
        </a:xfrm>
        <a:prstGeom prst="bentConnector3">
          <a:avLst>
            <a:gd name="adj1" fmla="val 99968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211669</xdr:colOff>
      <xdr:row>3</xdr:row>
      <xdr:rowOff>76201</xdr:rowOff>
    </xdr:from>
    <xdr:to>
      <xdr:col>3</xdr:col>
      <xdr:colOff>539753</xdr:colOff>
      <xdr:row>20</xdr:row>
      <xdr:rowOff>62839</xdr:rowOff>
    </xdr:to>
    <xdr:cxnSp macro="">
      <xdr:nvCxnSpPr>
        <xdr:cNvPr id="14" name="Elbow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rot="5400000" flipH="1" flipV="1">
          <a:off x="1100075" y="1764176"/>
          <a:ext cx="2599398" cy="328084"/>
        </a:xfrm>
        <a:prstGeom prst="bentConnector3">
          <a:avLst>
            <a:gd name="adj1" fmla="val 100003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433258</xdr:colOff>
      <xdr:row>11</xdr:row>
      <xdr:rowOff>69455</xdr:rowOff>
    </xdr:from>
    <xdr:to>
      <xdr:col>3</xdr:col>
      <xdr:colOff>535783</xdr:colOff>
      <xdr:row>18</xdr:row>
      <xdr:rowOff>69454</xdr:rowOff>
    </xdr:to>
    <xdr:cxnSp macro="">
      <xdr:nvCxnSpPr>
        <xdr:cNvPr id="18" name="Elbow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rot="5400000" flipH="1" flipV="1">
          <a:off x="1962881" y="2333296"/>
          <a:ext cx="1091405" cy="102525"/>
        </a:xfrm>
        <a:prstGeom prst="bentConnector3">
          <a:avLst>
            <a:gd name="adj1" fmla="val 100303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201744</xdr:colOff>
      <xdr:row>20</xdr:row>
      <xdr:rowOff>69453</xdr:rowOff>
    </xdr:from>
    <xdr:to>
      <xdr:col>3</xdr:col>
      <xdr:colOff>600208</xdr:colOff>
      <xdr:row>20</xdr:row>
      <xdr:rowOff>71572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2225807" y="3234531"/>
          <a:ext cx="398464" cy="211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340651</xdr:colOff>
      <xdr:row>19</xdr:row>
      <xdr:rowOff>70182</xdr:rowOff>
    </xdr:from>
    <xdr:to>
      <xdr:col>3</xdr:col>
      <xdr:colOff>603683</xdr:colOff>
      <xdr:row>19</xdr:row>
      <xdr:rowOff>72760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 flipV="1">
          <a:off x="2364714" y="3083125"/>
          <a:ext cx="263032" cy="257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429947</xdr:colOff>
      <xdr:row>18</xdr:row>
      <xdr:rowOff>72761</xdr:rowOff>
    </xdr:from>
    <xdr:to>
      <xdr:col>3</xdr:col>
      <xdr:colOff>608540</xdr:colOff>
      <xdr:row>18</xdr:row>
      <xdr:rowOff>79375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2454010" y="2933568"/>
          <a:ext cx="178593" cy="661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4"/>
  <sheetViews>
    <sheetView showGridLines="0" tabSelected="1" defaultGridColor="0" colorId="39" zoomScaleNormal="100" workbookViewId="0">
      <selection activeCell="M20" sqref="M20"/>
    </sheetView>
  </sheetViews>
  <sheetFormatPr defaultColWidth="11.3984375" defaultRowHeight="12"/>
  <cols>
    <col min="1" max="1" width="18.59765625" style="2" customWidth="1"/>
    <col min="2" max="2" width="6.69921875" style="2" customWidth="1"/>
    <col min="3" max="3" width="6.69921875" style="1" customWidth="1"/>
    <col min="4" max="4" width="12.69921875" style="6" customWidth="1"/>
    <col min="5" max="10" width="7.8984375" style="7" customWidth="1"/>
    <col min="11" max="11" width="7.8984375" style="2" customWidth="1"/>
    <col min="12" max="12" width="4.09765625" style="1" customWidth="1"/>
    <col min="13" max="13" width="22.8984375" style="1" customWidth="1"/>
    <col min="14" max="14" width="7.69921875" style="1" customWidth="1"/>
    <col min="15" max="16" width="8.69921875" style="1" customWidth="1"/>
    <col min="17" max="18" width="11.3984375" style="1" customWidth="1"/>
    <col min="19" max="24" width="5.8984375" style="1" customWidth="1"/>
    <col min="25" max="25" width="6.09765625" style="1" customWidth="1"/>
    <col min="26" max="27" width="11.3984375" style="1" customWidth="1"/>
    <col min="28" max="34" width="10.8984375" style="2" customWidth="1"/>
    <col min="35" max="16384" width="11.3984375" style="1"/>
  </cols>
  <sheetData>
    <row r="1" spans="1:34" ht="25.5" customHeight="1" thickTop="1">
      <c r="A1" s="49" t="s">
        <v>0</v>
      </c>
      <c r="B1" s="58"/>
      <c r="C1" s="43"/>
      <c r="D1" s="52"/>
      <c r="E1" s="67">
        <v>1</v>
      </c>
      <c r="F1" s="67">
        <v>2</v>
      </c>
      <c r="G1" s="67">
        <v>3</v>
      </c>
      <c r="H1" s="67">
        <v>4</v>
      </c>
      <c r="I1" s="67">
        <v>5</v>
      </c>
      <c r="J1" s="67">
        <v>6</v>
      </c>
      <c r="K1" s="45" t="s">
        <v>1</v>
      </c>
      <c r="M1" s="70" t="s">
        <v>2</v>
      </c>
      <c r="N1" s="70"/>
      <c r="Q1" s="1" t="s">
        <v>3</v>
      </c>
      <c r="S1" s="1">
        <v>1</v>
      </c>
      <c r="T1" s="1">
        <v>1</v>
      </c>
      <c r="U1" s="1">
        <v>1</v>
      </c>
      <c r="V1" s="1">
        <v>1</v>
      </c>
      <c r="W1" s="1">
        <v>1</v>
      </c>
      <c r="X1" s="1">
        <v>1</v>
      </c>
      <c r="Y1" s="1">
        <v>1</v>
      </c>
      <c r="AB1" s="68"/>
      <c r="AC1" s="68" t="s">
        <v>4</v>
      </c>
      <c r="AD1" s="68" t="s">
        <v>5</v>
      </c>
      <c r="AE1" s="68" t="s">
        <v>6</v>
      </c>
      <c r="AF1" s="68" t="s">
        <v>7</v>
      </c>
      <c r="AG1" s="68" t="s">
        <v>8</v>
      </c>
      <c r="AH1" s="68" t="s">
        <v>9</v>
      </c>
    </row>
    <row r="2" spans="1:34">
      <c r="A2" s="27" t="s">
        <v>10</v>
      </c>
      <c r="B2" s="59"/>
      <c r="D2" s="66" t="s">
        <v>11</v>
      </c>
      <c r="E2" s="65" t="s">
        <v>10</v>
      </c>
      <c r="F2" s="46"/>
      <c r="G2" s="46" t="s">
        <v>10</v>
      </c>
      <c r="H2" s="46" t="s">
        <v>10</v>
      </c>
      <c r="I2" s="46" t="s">
        <v>10</v>
      </c>
      <c r="J2" s="46" t="s">
        <v>10</v>
      </c>
      <c r="K2" s="10" t="s">
        <v>10</v>
      </c>
      <c r="M2" s="16" t="s">
        <v>12</v>
      </c>
      <c r="N2" s="17">
        <v>1</v>
      </c>
      <c r="Q2" s="1" t="s">
        <v>13</v>
      </c>
      <c r="S2" s="1">
        <v>1</v>
      </c>
      <c r="T2" s="1">
        <v>1</v>
      </c>
      <c r="U2" s="1">
        <v>1</v>
      </c>
      <c r="V2" s="1">
        <v>1</v>
      </c>
      <c r="W2" s="1">
        <v>1</v>
      </c>
      <c r="X2" s="1">
        <v>0</v>
      </c>
      <c r="Y2" s="1">
        <v>2</v>
      </c>
      <c r="AB2" s="68"/>
      <c r="AC2" s="68">
        <f>INDEX(PW,_PWi1,1)</f>
        <v>1</v>
      </c>
      <c r="AD2" s="68">
        <f>INDEX(PW,_PWi2,1)</f>
        <v>1</v>
      </c>
      <c r="AE2" s="68">
        <f>INDEX(PW,_PWi3,1)</f>
        <v>1</v>
      </c>
      <c r="AF2" s="68">
        <f>INDEX(PW,_PWi4,1)</f>
        <v>0</v>
      </c>
      <c r="AG2" s="68">
        <f>INDEX(PW,_PWi5,1)</f>
        <v>0</v>
      </c>
      <c r="AH2" s="68">
        <f>INDEX(PW,_PWi6,1)</f>
        <v>0</v>
      </c>
    </row>
    <row r="3" spans="1:34">
      <c r="A3" s="44"/>
      <c r="B3" s="60" t="s">
        <v>14</v>
      </c>
      <c r="C3" s="68" t="s">
        <v>15</v>
      </c>
      <c r="D3" s="48" t="s">
        <v>16</v>
      </c>
      <c r="E3" s="22">
        <v>0</v>
      </c>
      <c r="F3" s="22">
        <v>0</v>
      </c>
      <c r="G3" s="22">
        <v>1</v>
      </c>
      <c r="H3" s="22">
        <v>0</v>
      </c>
      <c r="I3" s="22">
        <v>1</v>
      </c>
      <c r="J3" s="22">
        <v>0</v>
      </c>
      <c r="K3" s="1"/>
      <c r="M3" s="16" t="s">
        <v>17</v>
      </c>
      <c r="N3" s="17">
        <v>2</v>
      </c>
      <c r="S3" s="1">
        <v>1</v>
      </c>
      <c r="T3" s="1">
        <v>1</v>
      </c>
      <c r="U3" s="1">
        <v>1</v>
      </c>
      <c r="V3" s="1">
        <v>1</v>
      </c>
      <c r="W3" s="1">
        <v>0</v>
      </c>
      <c r="X3" s="1">
        <v>1</v>
      </c>
      <c r="Y3" s="1">
        <v>3</v>
      </c>
      <c r="Z3" s="1" t="s">
        <v>10</v>
      </c>
      <c r="AB3" s="68"/>
      <c r="AC3" s="68">
        <f>INDEX(PW,_PWi1,2)</f>
        <v>1</v>
      </c>
      <c r="AD3" s="68">
        <f>INDEX(PW,_PWi2,2)</f>
        <v>1</v>
      </c>
      <c r="AE3" s="68">
        <f>INDEX(PW,_PWi3,2)</f>
        <v>0</v>
      </c>
      <c r="AF3" s="68">
        <f>INDEX(PW,_PWi4,2)</f>
        <v>1</v>
      </c>
      <c r="AG3" s="68">
        <f>INDEX(PW,_PWi5,2)</f>
        <v>1</v>
      </c>
      <c r="AH3" s="68">
        <f>INDEX(PW,_PWi6,2)</f>
        <v>0</v>
      </c>
    </row>
    <row r="4" spans="1:34">
      <c r="A4" s="44" t="s">
        <v>18</v>
      </c>
      <c r="B4" s="61"/>
      <c r="D4" s="48" t="s">
        <v>19</v>
      </c>
      <c r="E4" s="69">
        <f ca="1">IF(P2.1&gt;P2.2,1,0)</f>
        <v>0</v>
      </c>
      <c r="F4" s="69">
        <f ca="1">IF(P2.2&gt;P2.3,1,0)</f>
        <v>0</v>
      </c>
      <c r="G4" s="69">
        <f ca="1">IF(P2.4&gt;P2.3,1,0)</f>
        <v>1</v>
      </c>
      <c r="H4" s="69">
        <f ca="1">IF(P2.4&gt;P2.5,1,0)</f>
        <v>0</v>
      </c>
      <c r="I4" s="69">
        <f ca="1">IF(P2.5&gt;P2.6,1,0)</f>
        <v>1</v>
      </c>
      <c r="J4" s="69">
        <f ca="1">IF(P2.6&gt;0,1,0)</f>
        <v>0</v>
      </c>
      <c r="K4" s="13">
        <f ca="1">(ABS(E4-E3)+ABS(F4-F3)+ABS(G4-G3)+ABS(H4-H3)+ABS(I4-I3)+ABS(J4-J3))/6</f>
        <v>0</v>
      </c>
      <c r="L4" s="21"/>
      <c r="M4" s="16" t="s">
        <v>20</v>
      </c>
      <c r="N4" s="17">
        <v>3</v>
      </c>
      <c r="S4" s="1">
        <v>1</v>
      </c>
      <c r="T4" s="1">
        <v>1</v>
      </c>
      <c r="U4" s="1">
        <v>1</v>
      </c>
      <c r="V4" s="1">
        <v>1</v>
      </c>
      <c r="W4" s="1">
        <v>0</v>
      </c>
      <c r="X4" s="1">
        <v>0</v>
      </c>
      <c r="Y4" s="1">
        <v>4</v>
      </c>
      <c r="Z4" s="1" t="s">
        <v>10</v>
      </c>
      <c r="AB4" s="68"/>
      <c r="AC4" s="68">
        <f>INDEX(PW,_PWi1,3)</f>
        <v>1</v>
      </c>
      <c r="AD4" s="68">
        <f>INDEX(PW,_PWi2,3)</f>
        <v>1</v>
      </c>
      <c r="AE4" s="68">
        <f>INDEX(PW,_PWi3,3)</f>
        <v>1</v>
      </c>
      <c r="AF4" s="68">
        <f>INDEX(PW,_PWi4,3)</f>
        <v>1</v>
      </c>
      <c r="AG4" s="68">
        <f>INDEX(PW,_PWi5,3)</f>
        <v>1</v>
      </c>
      <c r="AH4" s="68">
        <f>INDEX(PW,_PWi6,3)</f>
        <v>1</v>
      </c>
    </row>
    <row r="5" spans="1:34">
      <c r="A5" s="44"/>
      <c r="B5" s="56">
        <v>1.0000000000000001E-5</v>
      </c>
      <c r="C5" s="57">
        <v>1000</v>
      </c>
      <c r="D5" s="55" t="s">
        <v>21</v>
      </c>
      <c r="E5" s="14">
        <f ca="1">IF(E2="*",0,O3.1+Slow3*(Gain3*(pR3.1-P3.1)-O3.1))</f>
        <v>-1.8221627278985209</v>
      </c>
      <c r="F5" s="14">
        <f ca="1">IF(F2="*",0,O3.2+Slow3*(Gain3*(pR3.2-P3.2)-O3.2))</f>
        <v>-0.22521773031693909</v>
      </c>
      <c r="G5" s="14">
        <f ca="1">IF(G2="*",0,O3.3+Slow3*(Gain3*(pR3.3-P3.3)-O3.3))</f>
        <v>1.1161750279352809</v>
      </c>
      <c r="H5" s="14">
        <f ca="1">IF(H2="*",0,O3.4+Slow3*(Gain3*(pR3.4-P3.4)-O3.4))</f>
        <v>0.64649987661740238</v>
      </c>
      <c r="I5" s="14">
        <f ca="1">IF(I2="*",0,O3.5+Slow3*(Gain3*(pR3.5-O3.5)-O3.5))</f>
        <v>0.99900099900099348</v>
      </c>
      <c r="J5" s="14">
        <f ca="1">IF(J2="*",0,O3.6+Slow3*(Gain3*(pR3.6-P3.6)-O3.6))</f>
        <v>-0.66922261836025654</v>
      </c>
      <c r="K5" s="13"/>
      <c r="M5" s="16" t="s">
        <v>22</v>
      </c>
      <c r="N5" s="17">
        <v>4</v>
      </c>
      <c r="S5" s="1">
        <v>1</v>
      </c>
      <c r="T5" s="1">
        <v>1</v>
      </c>
      <c r="U5" s="1">
        <v>1</v>
      </c>
      <c r="V5" s="1">
        <v>0</v>
      </c>
      <c r="W5" s="1">
        <v>1</v>
      </c>
      <c r="X5" s="1">
        <v>1</v>
      </c>
      <c r="Y5" s="1">
        <v>5</v>
      </c>
      <c r="AB5" s="68"/>
      <c r="AC5" s="68">
        <f>INDEX(PW,_PWi1,4)</f>
        <v>0</v>
      </c>
      <c r="AD5" s="68">
        <f>INDEX(PW,_PWi2,4)</f>
        <v>0</v>
      </c>
      <c r="AE5" s="68">
        <f>INDEX(PW,_PWi3,4)</f>
        <v>0</v>
      </c>
      <c r="AF5" s="68">
        <f>INDEX(PW,_PWi4,4)</f>
        <v>1</v>
      </c>
      <c r="AG5" s="68">
        <f>INDEX(PW,_PWi5,4)</f>
        <v>0</v>
      </c>
      <c r="AH5" s="68">
        <f>INDEX(PW,_PWi6,4)</f>
        <v>1</v>
      </c>
    </row>
    <row r="6" spans="1:34">
      <c r="A6" s="44"/>
      <c r="B6" s="62"/>
      <c r="D6" s="48"/>
      <c r="E6" s="54" t="s">
        <v>10</v>
      </c>
      <c r="F6" s="47" t="s">
        <v>10</v>
      </c>
      <c r="G6" s="47"/>
      <c r="H6" s="47" t="s">
        <v>10</v>
      </c>
      <c r="I6" s="47" t="s">
        <v>10</v>
      </c>
      <c r="J6" s="47"/>
      <c r="K6" s="10" t="s">
        <v>10</v>
      </c>
      <c r="M6" s="16" t="s">
        <v>23</v>
      </c>
      <c r="N6" s="17">
        <v>5</v>
      </c>
      <c r="S6" s="1">
        <v>1</v>
      </c>
      <c r="T6" s="1">
        <v>1</v>
      </c>
      <c r="U6" s="1">
        <v>1</v>
      </c>
      <c r="V6" s="1">
        <v>0</v>
      </c>
      <c r="W6" s="1">
        <v>1</v>
      </c>
      <c r="X6" s="1">
        <v>0</v>
      </c>
      <c r="Y6" s="1">
        <v>6</v>
      </c>
      <c r="Z6" s="1" t="s">
        <v>10</v>
      </c>
      <c r="AB6" s="68"/>
      <c r="AC6" s="68">
        <f>INDEX(PW,_PWi1,5)</f>
        <v>1</v>
      </c>
      <c r="AD6" s="68">
        <f>INDEX(PW,_PWi2,5)</f>
        <v>0</v>
      </c>
      <c r="AE6" s="68">
        <f>INDEX(PW,_PWi3,5)</f>
        <v>0</v>
      </c>
      <c r="AF6" s="68">
        <f>INDEX(PW,_PWi4,5)</f>
        <v>1</v>
      </c>
      <c r="AG6" s="68">
        <f>INDEX(PW,_PWi5,5)</f>
        <v>0</v>
      </c>
      <c r="AH6" s="68">
        <f>INDEX(PW,_PWi6,5)</f>
        <v>1</v>
      </c>
    </row>
    <row r="7" spans="1:34">
      <c r="A7" s="44"/>
      <c r="B7" s="60"/>
      <c r="D7" s="48" t="s">
        <v>24</v>
      </c>
      <c r="E7" s="11">
        <f ca="1">O3.1-O3.2</f>
        <v>-1.5969449975815817</v>
      </c>
      <c r="F7" s="11">
        <f ca="1">O3.2-O3.3</f>
        <v>-1.34139275825222</v>
      </c>
      <c r="G7" s="11">
        <f ca="1">O3.4-O3.3</f>
        <v>-0.46967515131787851</v>
      </c>
      <c r="H7" s="11">
        <f ca="1">O3.4-O3.5</f>
        <v>-0.3525011223835911</v>
      </c>
      <c r="I7" s="11">
        <f ca="1">O3.5-O3.6</f>
        <v>1.6682236173612499</v>
      </c>
      <c r="J7" s="11">
        <f ca="1">O3.6</f>
        <v>-0.66922261836025654</v>
      </c>
      <c r="K7" s="68"/>
      <c r="M7" s="16" t="s">
        <v>25</v>
      </c>
      <c r="N7" s="17">
        <v>6</v>
      </c>
      <c r="S7" s="1">
        <v>1</v>
      </c>
      <c r="T7" s="1">
        <v>1</v>
      </c>
      <c r="U7" s="1">
        <v>1</v>
      </c>
      <c r="V7" s="1">
        <v>0</v>
      </c>
      <c r="W7" s="1">
        <v>0</v>
      </c>
      <c r="X7" s="1">
        <v>1</v>
      </c>
      <c r="Y7" s="1">
        <v>7</v>
      </c>
      <c r="AB7" s="68"/>
      <c r="AC7" s="68">
        <f>INDEX(PW,_PWi1,6)</f>
        <v>1</v>
      </c>
      <c r="AD7" s="68">
        <f>INDEX(PW,_PWi2,6)</f>
        <v>1</v>
      </c>
      <c r="AE7" s="68">
        <f>INDEX(PW,_PWi3,6)</f>
        <v>0</v>
      </c>
      <c r="AF7" s="68">
        <f>INDEX(PW,_PWi4,6)</f>
        <v>0</v>
      </c>
      <c r="AG7" s="68">
        <f>INDEX(PW,_PWi5,6)</f>
        <v>0</v>
      </c>
      <c r="AH7" s="68">
        <f>INDEX(PW,_PWi6,6)</f>
        <v>1</v>
      </c>
    </row>
    <row r="8" spans="1:34">
      <c r="A8" s="44" t="s">
        <v>3</v>
      </c>
      <c r="B8" s="61"/>
      <c r="D8" s="48" t="s">
        <v>26</v>
      </c>
      <c r="E8" s="12">
        <f ca="1">MMULT(P1i,Pmlt1)</f>
        <v>-1.6025829471070681</v>
      </c>
      <c r="F8" s="12">
        <f ca="1">MMULT(P1i,Pmlt2)</f>
        <v>-1.3436410188926118</v>
      </c>
      <c r="G8" s="12">
        <f ca="1">MMULT(P1i,Pmlt3)</f>
        <v>-0.46830087801116016</v>
      </c>
      <c r="H8" s="12">
        <f ca="1">MMULT(P1i,Pmlt4)</f>
        <v>-0.33850298651615629</v>
      </c>
      <c r="I8" s="12">
        <f ca="1">MMULT(P1i,Pmlt5)</f>
        <v>1.6495097316234706</v>
      </c>
      <c r="J8" s="12">
        <f ca="1">MMULT(P1i,Pmlt6)</f>
        <v>-0.66665605129526473</v>
      </c>
      <c r="K8" s="13">
        <f ca="1">(ABS(E8-E7)+ABS(F8-F7)+ABS(G8-G7)+ABS(H8-H7)+ABS(I8-I7)+ABS(J8-J7))/6</f>
        <v>7.4231786904670654E-3</v>
      </c>
      <c r="L8" s="21"/>
      <c r="S8" s="1">
        <v>1</v>
      </c>
      <c r="T8" s="1">
        <v>1</v>
      </c>
      <c r="U8" s="1">
        <v>1</v>
      </c>
      <c r="V8" s="1">
        <v>0</v>
      </c>
      <c r="W8" s="1">
        <v>0</v>
      </c>
      <c r="X8" s="1">
        <v>0</v>
      </c>
      <c r="Y8" s="1">
        <v>8</v>
      </c>
      <c r="AB8" s="68"/>
      <c r="AC8" s="68" t="s">
        <v>27</v>
      </c>
      <c r="AD8" s="68" t="s">
        <v>28</v>
      </c>
      <c r="AE8" s="68" t="s">
        <v>29</v>
      </c>
      <c r="AF8" s="68" t="s">
        <v>30</v>
      </c>
      <c r="AG8" s="68" t="s">
        <v>31</v>
      </c>
      <c r="AH8" s="68" t="s">
        <v>32</v>
      </c>
    </row>
    <row r="9" spans="1:34">
      <c r="A9" s="44"/>
      <c r="B9" s="56">
        <v>1E-4</v>
      </c>
      <c r="C9" s="57">
        <v>500</v>
      </c>
      <c r="D9" s="55" t="s">
        <v>33</v>
      </c>
      <c r="E9" s="14">
        <f ca="1">IF(E6="*",0,O2.1+Slow2*(Gain2*(pR2.1-P2.1)-O2.1))</f>
        <v>1.6734135976787519</v>
      </c>
      <c r="F9" s="14">
        <f ca="1">IF(F6="*",0,O2.2+Slow2*(Gain2*(pR2.2-P2.2)-O2.2))</f>
        <v>-4.4610558443754158</v>
      </c>
      <c r="G9" s="14">
        <f ca="1">IF(G6="*",0,O2.3+Slow2*(Gain2*(pR2.3-P2.3)-O2.3))</f>
        <v>0.16383761252021747</v>
      </c>
      <c r="H9" s="14">
        <f ca="1">IF(H6="*",H8,O2.4+Slow2*(Gain2*(pR2.4-P2.4)-O2.4))</f>
        <v>-4.0416215118839816</v>
      </c>
      <c r="I9" s="14">
        <f ca="1">IF(I6="*",0,O2.5+Slow2*(Gain2*(pR2.5-P2.5)-O2.5))</f>
        <v>6.6551737422680404</v>
      </c>
      <c r="J9" s="14">
        <f ca="1">IF(J6="*",0,O2.6+Slow2*(Gain2*(pR2.6-P2.6)-O2.6))</f>
        <v>2.2119513717364021</v>
      </c>
      <c r="K9" s="13"/>
      <c r="M9" s="71" t="s">
        <v>34</v>
      </c>
      <c r="N9" s="71"/>
      <c r="S9" s="1">
        <v>1</v>
      </c>
      <c r="T9" s="1">
        <v>1</v>
      </c>
      <c r="U9" s="1">
        <v>0</v>
      </c>
      <c r="V9" s="1">
        <v>1</v>
      </c>
      <c r="W9" s="1">
        <v>1</v>
      </c>
      <c r="X9" s="1">
        <v>1</v>
      </c>
      <c r="Y9" s="1">
        <v>9</v>
      </c>
      <c r="AB9" s="68"/>
      <c r="AC9" s="68">
        <f>INDEX(PW,_PWi1,1)</f>
        <v>1</v>
      </c>
      <c r="AD9" s="68">
        <f>INDEX(PW,_PWi1,2)</f>
        <v>1</v>
      </c>
      <c r="AE9" s="68">
        <f>INDEX(PW,_PWi1,3)</f>
        <v>1</v>
      </c>
      <c r="AF9" s="68">
        <f>INDEX(PW,_PWi1,4)</f>
        <v>0</v>
      </c>
      <c r="AG9" s="68">
        <f>INDEX(PW,_PWi1,5)</f>
        <v>1</v>
      </c>
      <c r="AH9" s="68">
        <f>INDEX(PW,_PWi1,6)</f>
        <v>1</v>
      </c>
    </row>
    <row r="10" spans="1:34">
      <c r="A10" s="44"/>
      <c r="B10" s="62"/>
      <c r="C10" s="68"/>
      <c r="D10" s="48"/>
      <c r="E10" s="54"/>
      <c r="F10" s="47" t="s">
        <v>10</v>
      </c>
      <c r="G10" s="47" t="s">
        <v>10</v>
      </c>
      <c r="H10" s="47" t="s">
        <v>10</v>
      </c>
      <c r="I10" s="47"/>
      <c r="J10" s="47"/>
      <c r="K10" s="68"/>
      <c r="M10" s="16" t="s">
        <v>35</v>
      </c>
      <c r="N10" s="17">
        <v>5</v>
      </c>
      <c r="S10" s="1">
        <v>1</v>
      </c>
      <c r="T10" s="1">
        <v>1</v>
      </c>
      <c r="U10" s="1">
        <v>0</v>
      </c>
      <c r="V10" s="1">
        <v>1</v>
      </c>
      <c r="W10" s="1">
        <v>1</v>
      </c>
      <c r="X10" s="1">
        <v>0</v>
      </c>
      <c r="Y10" s="1">
        <v>10</v>
      </c>
      <c r="AB10" s="68"/>
      <c r="AC10" s="68">
        <f>INDEX(PW,_PWi2,1)</f>
        <v>1</v>
      </c>
      <c r="AD10" s="68">
        <f>INDEX(PW,_PWi2,2)</f>
        <v>1</v>
      </c>
      <c r="AE10" s="68">
        <f>INDEX(PW,_PWi2,3)</f>
        <v>1</v>
      </c>
      <c r="AF10" s="68">
        <f>INDEX(PW,_PWi2,4)</f>
        <v>0</v>
      </c>
      <c r="AG10" s="68">
        <f>INDEX(PW,_PWi2,5)</f>
        <v>0</v>
      </c>
      <c r="AH10" s="68">
        <f>INDEX(PW,_PWi2,6)</f>
        <v>1</v>
      </c>
    </row>
    <row r="11" spans="1:34">
      <c r="A11" s="44"/>
      <c r="B11" s="60"/>
      <c r="D11" s="48" t="s">
        <v>36</v>
      </c>
      <c r="E11" s="11">
        <f ca="1">MMULT(O2i,Omlt1)</f>
        <v>-2.6238046341764463</v>
      </c>
      <c r="F11" s="11">
        <f ca="1">MMULT(O2i,Omlt2)</f>
        <v>-0.17409001631260512</v>
      </c>
      <c r="G11" s="11">
        <f ca="1">MMULT(O2i,Omlt3)</f>
        <v>2.2016989679440147</v>
      </c>
      <c r="H11" s="11">
        <f ca="1">MMULT(O2i,Omlt4)</f>
        <v>-1.8296701401475794</v>
      </c>
      <c r="I11" s="11">
        <f ca="1">MMULT(O2i,Omlt5)</f>
        <v>-0.15625654246882759</v>
      </c>
      <c r="J11" s="11">
        <f ca="1">MMULT(O2i,Omlt6)</f>
        <v>-0.57569087496026183</v>
      </c>
      <c r="K11" s="13"/>
      <c r="M11" s="16" t="s">
        <v>17</v>
      </c>
      <c r="N11" s="17">
        <v>7</v>
      </c>
      <c r="S11" s="1">
        <v>1</v>
      </c>
      <c r="T11" s="1">
        <v>1</v>
      </c>
      <c r="U11" s="1">
        <v>0</v>
      </c>
      <c r="V11" s="1">
        <v>1</v>
      </c>
      <c r="W11" s="1">
        <v>0</v>
      </c>
      <c r="X11" s="1">
        <v>1</v>
      </c>
      <c r="Y11" s="1">
        <v>11</v>
      </c>
      <c r="AB11" s="68"/>
      <c r="AC11" s="68">
        <f>INDEX(PW,_PWi3,1)</f>
        <v>1</v>
      </c>
      <c r="AD11" s="68">
        <f>INDEX(PW,_PWi3,2)</f>
        <v>0</v>
      </c>
      <c r="AE11" s="68">
        <f>INDEX(PW,_PWi3,3)</f>
        <v>1</v>
      </c>
      <c r="AF11" s="68">
        <f>INDEX(PW,_PWi3,4)</f>
        <v>0</v>
      </c>
      <c r="AG11" s="68">
        <f>INDEX(PW,_PWi3,5)</f>
        <v>0</v>
      </c>
      <c r="AH11" s="68">
        <f>INDEX(PW,_PWi3,6)</f>
        <v>0</v>
      </c>
    </row>
    <row r="12" spans="1:34">
      <c r="A12" s="44" t="s">
        <v>37</v>
      </c>
      <c r="B12" s="61"/>
      <c r="D12" s="48" t="s">
        <v>38</v>
      </c>
      <c r="E12" s="12" cm="1">
        <f t="array" aca="1" ref="E12" ca="1">0.1*INDEX(v.1:v.6,$N2)</f>
        <v>-2.3916723420189654</v>
      </c>
      <c r="F12" s="12" cm="1">
        <f t="array" aca="1" ref="F12" ca="1">0.1*INDEX(v.1:v.6,$N3)</f>
        <v>-0.27339090147589945</v>
      </c>
      <c r="G12" s="12" cm="1">
        <f t="array" aca="1" ref="G12" ca="1">0.1*INDEX(v.1:v.6,$N4)</f>
        <v>1.9230298589884307</v>
      </c>
      <c r="H12" s="12" cm="1">
        <f t="array" aca="1" ref="H12" ca="1">0.1*INDEX(v.1:v.6,$N5)</f>
        <v>-1.7293186064838157</v>
      </c>
      <c r="I12" s="12" cm="1">
        <f t="array" aca="1" ref="I12" ca="1">0.1*INDEX(v.1:v.6,$N6)</f>
        <v>-0.25900098588963749</v>
      </c>
      <c r="J12" s="12" cm="1">
        <f t="array" aca="1" ref="J12" ca="1">0.1*INDEX(v.1:v.6,$N7)</f>
        <v>-0.60140975681318121</v>
      </c>
      <c r="K12" s="13">
        <f ca="1">(ABS(E12-E11)+ABS(F12-F11)+ABS(G12-G11)+ABS(H12-H11)+ABS(I12-I11)+ABS(J12-J11))/6</f>
        <v>0.1398195242023087</v>
      </c>
      <c r="L12" s="21"/>
      <c r="M12" s="16" t="s">
        <v>20</v>
      </c>
      <c r="N12" s="17">
        <v>24</v>
      </c>
      <c r="S12" s="1">
        <v>1</v>
      </c>
      <c r="T12" s="1">
        <v>1</v>
      </c>
      <c r="U12" s="1">
        <v>0</v>
      </c>
      <c r="V12" s="1">
        <v>1</v>
      </c>
      <c r="W12" s="1">
        <v>0</v>
      </c>
      <c r="X12" s="1">
        <v>0</v>
      </c>
      <c r="Y12" s="1">
        <v>12</v>
      </c>
      <c r="AB12" s="68"/>
      <c r="AC12" s="68">
        <f>INDEX(PW,_PWi4,1)</f>
        <v>0</v>
      </c>
      <c r="AD12" s="68">
        <f>INDEX(PW,_PWi4,2)</f>
        <v>1</v>
      </c>
      <c r="AE12" s="68">
        <f>INDEX(PW,_PWi4,3)</f>
        <v>1</v>
      </c>
      <c r="AF12" s="68">
        <f>INDEX(PW,_PWi4,4)</f>
        <v>1</v>
      </c>
      <c r="AG12" s="68">
        <f>INDEX(PW,_PWi4,5)</f>
        <v>1</v>
      </c>
      <c r="AH12" s="68">
        <f>INDEX(PW,_PWi4,6)</f>
        <v>0</v>
      </c>
    </row>
    <row r="13" spans="1:34">
      <c r="A13" s="44"/>
      <c r="B13" s="56">
        <v>0.01</v>
      </c>
      <c r="C13" s="57">
        <v>90</v>
      </c>
      <c r="D13" s="55" t="s">
        <v>39</v>
      </c>
      <c r="E13" s="14">
        <f ca="1">IF(E10="*",0,O1.1+Slow1*(Gain1*(pR1.1-P1.1)-O1.1))</f>
        <v>-23.47888829203545</v>
      </c>
      <c r="F13" s="14">
        <f ca="1">IF(F10="*",0,O1.2+Slow1*(Gain1*(pR1.2-P1.2)-O1.2))</f>
        <v>4.4583524736241467</v>
      </c>
      <c r="G13" s="14">
        <f ca="1">IF(G10="*",0,O1.3+Slow1*(Gain1*(pR1.3-P1.3)-O1.3))</f>
        <v>24.08880406872855</v>
      </c>
      <c r="H13" s="14">
        <f ca="1">IF(H10="*",0,O1.4+Slow1*(Gain1*(pR1.4-P1.4)-O1.4))</f>
        <v>-6.5726882062223426</v>
      </c>
      <c r="I13" s="14">
        <f ca="1">IF(I10="*",0,O1.5+Slow1*(Gain1*(pR1.5-P1.5)-O1.5))</f>
        <v>10.925033117062565</v>
      </c>
      <c r="J13" s="14">
        <f ca="1">IF(J10="*",0,O1.6+Slow1*(Gain1*(pR1.6-P1.6)-O1.6))</f>
        <v>-2.4829338774913379</v>
      </c>
      <c r="K13" s="68"/>
      <c r="M13" s="16" t="s">
        <v>40</v>
      </c>
      <c r="N13" s="17">
        <v>34</v>
      </c>
      <c r="S13" s="1">
        <v>1</v>
      </c>
      <c r="T13" s="1">
        <v>1</v>
      </c>
      <c r="U13" s="1">
        <v>0</v>
      </c>
      <c r="V13" s="1">
        <v>0</v>
      </c>
      <c r="W13" s="1">
        <v>1</v>
      </c>
      <c r="X13" s="1">
        <v>1</v>
      </c>
      <c r="Y13" s="1">
        <v>13</v>
      </c>
      <c r="AB13" s="68"/>
      <c r="AC13" s="68">
        <f>INDEX(PW,_PWi5,1)</f>
        <v>0</v>
      </c>
      <c r="AD13" s="68">
        <f>INDEX(PW,_PWi5,2)</f>
        <v>1</v>
      </c>
      <c r="AE13" s="68">
        <f>INDEX(PW,_PWi5,3)</f>
        <v>1</v>
      </c>
      <c r="AF13" s="68">
        <f>INDEX(PW,_PWi5,4)</f>
        <v>0</v>
      </c>
      <c r="AG13" s="68">
        <f>INDEX(PW,_PWi5,5)</f>
        <v>0</v>
      </c>
      <c r="AH13" s="68">
        <f>INDEX(PW,_PWi5,6)</f>
        <v>0</v>
      </c>
    </row>
    <row r="14" spans="1:34" ht="12.5" thickBot="1">
      <c r="A14" s="50" t="s">
        <v>10</v>
      </c>
      <c r="B14" s="63"/>
      <c r="C14" s="18"/>
      <c r="D14" s="53"/>
      <c r="E14" s="19"/>
      <c r="F14" s="19"/>
      <c r="G14" s="19"/>
      <c r="H14" s="19"/>
      <c r="I14" s="19"/>
      <c r="J14" s="19"/>
      <c r="K14" s="23"/>
      <c r="L14" s="24"/>
      <c r="M14" s="16" t="s">
        <v>23</v>
      </c>
      <c r="N14" s="17">
        <v>40</v>
      </c>
      <c r="S14" s="1">
        <v>1</v>
      </c>
      <c r="T14" s="1">
        <v>1</v>
      </c>
      <c r="U14" s="1">
        <v>0</v>
      </c>
      <c r="V14" s="1">
        <v>0</v>
      </c>
      <c r="W14" s="1">
        <v>1</v>
      </c>
      <c r="X14" s="1">
        <v>0</v>
      </c>
      <c r="Y14" s="1">
        <v>14</v>
      </c>
      <c r="AB14" s="68"/>
      <c r="AC14" s="68">
        <f>INDEX(PW,_PWi6,1)</f>
        <v>0</v>
      </c>
      <c r="AD14" s="68">
        <f>INDEX(PW,_PWi6,2)</f>
        <v>0</v>
      </c>
      <c r="AE14" s="68">
        <f>INDEX(PW,_PWi6,3)</f>
        <v>1</v>
      </c>
      <c r="AF14" s="68">
        <f>INDEX(PW,_PWi6,4)</f>
        <v>1</v>
      </c>
      <c r="AG14" s="68">
        <f>INDEX(PW,_PWi6,5)</f>
        <v>1</v>
      </c>
      <c r="AH14" s="68">
        <f>INDEX(PW,_PWi6,6)</f>
        <v>1</v>
      </c>
    </row>
    <row r="15" spans="1:34" ht="12.5" thickTop="1">
      <c r="A15" s="27" t="s">
        <v>41</v>
      </c>
      <c r="B15" s="59"/>
      <c r="C15" s="9"/>
      <c r="D15" s="48" t="s">
        <v>42</v>
      </c>
      <c r="E15" s="4">
        <f ca="1">E13+E17</f>
        <v>-23.919437310503298</v>
      </c>
      <c r="F15" s="4">
        <f t="shared" ref="F15:J15" ca="1" si="0">F13+F17</f>
        <v>-2.7318448237880899</v>
      </c>
      <c r="G15" s="4">
        <f t="shared" ca="1" si="0"/>
        <v>19.229519283047892</v>
      </c>
      <c r="H15" s="4">
        <f t="shared" ca="1" si="0"/>
        <v>-17.295663393638282</v>
      </c>
      <c r="I15" s="4">
        <f t="shared" ca="1" si="0"/>
        <v>-2.5906203759420983</v>
      </c>
      <c r="J15" s="4">
        <f t="shared" ca="1" si="0"/>
        <v>-6.0107485972112666</v>
      </c>
      <c r="K15" s="25" t="s">
        <v>10</v>
      </c>
      <c r="L15" s="24" t="s">
        <v>10</v>
      </c>
      <c r="M15" s="16" t="s">
        <v>43</v>
      </c>
      <c r="N15" s="17">
        <v>50</v>
      </c>
      <c r="S15" s="1">
        <v>1</v>
      </c>
      <c r="T15" s="1">
        <v>1</v>
      </c>
      <c r="U15" s="1">
        <v>0</v>
      </c>
      <c r="V15" s="1">
        <v>0</v>
      </c>
      <c r="W15" s="1">
        <v>0</v>
      </c>
      <c r="X15" s="1">
        <v>1</v>
      </c>
      <c r="Y15" s="1">
        <v>15</v>
      </c>
      <c r="AB15" s="68"/>
      <c r="AC15" s="68"/>
      <c r="AD15" s="68"/>
      <c r="AE15" s="68"/>
      <c r="AF15" s="68"/>
      <c r="AG15" s="68"/>
      <c r="AH15" s="68"/>
    </row>
    <row r="16" spans="1:34">
      <c r="A16" s="44" t="s">
        <v>44</v>
      </c>
      <c r="B16" s="59"/>
      <c r="D16" s="48"/>
      <c r="H16" s="4"/>
      <c r="I16" s="4"/>
      <c r="J16" s="4"/>
      <c r="K16" s="23"/>
      <c r="L16" s="24"/>
      <c r="S16" s="1">
        <v>1</v>
      </c>
      <c r="T16" s="1">
        <v>1</v>
      </c>
      <c r="U16" s="1">
        <v>0</v>
      </c>
      <c r="V16" s="1">
        <v>0</v>
      </c>
      <c r="W16" s="1">
        <v>0</v>
      </c>
      <c r="X16" s="1">
        <v>0</v>
      </c>
      <c r="Y16" s="1">
        <v>16</v>
      </c>
      <c r="AB16" s="68"/>
      <c r="AC16" s="68"/>
      <c r="AD16" s="68"/>
      <c r="AE16" s="68"/>
      <c r="AF16" s="68"/>
      <c r="AG16" s="68"/>
      <c r="AH16" s="68"/>
    </row>
    <row r="17" spans="1:34" ht="12.5" thickBot="1">
      <c r="A17" s="51" t="s">
        <v>45</v>
      </c>
      <c r="B17" s="64"/>
      <c r="C17" s="20"/>
      <c r="D17" s="53" t="s">
        <v>46</v>
      </c>
      <c r="E17" s="19">
        <f ca="1">AC26*500</f>
        <v>-0.46993785981342895</v>
      </c>
      <c r="F17" s="19">
        <f t="shared" ref="F17:J17" ca="1" si="1">AD26*500</f>
        <v>-7.2332735405631201</v>
      </c>
      <c r="G17" s="19">
        <f t="shared" ca="1" si="1"/>
        <v>-4.8702861230181522</v>
      </c>
      <c r="H17" s="19">
        <f t="shared" ca="1" si="1"/>
        <v>-10.700517475736614</v>
      </c>
      <c r="I17" s="19">
        <f t="shared" ca="1" si="1"/>
        <v>-13.499086016677593</v>
      </c>
      <c r="J17" s="19">
        <f t="shared" ca="1" si="1"/>
        <v>-3.5724469862144774</v>
      </c>
      <c r="K17" s="28" t="s">
        <v>10</v>
      </c>
      <c r="L17" s="24"/>
      <c r="S17" s="1">
        <v>1</v>
      </c>
      <c r="T17" s="1">
        <v>0</v>
      </c>
      <c r="U17" s="1">
        <v>1</v>
      </c>
      <c r="V17" s="1">
        <v>1</v>
      </c>
      <c r="W17" s="1">
        <v>1</v>
      </c>
      <c r="X17" s="1">
        <v>1</v>
      </c>
      <c r="Y17" s="1">
        <v>17</v>
      </c>
      <c r="AB17" s="68"/>
      <c r="AC17" s="68"/>
      <c r="AD17" s="68"/>
      <c r="AE17" s="68"/>
      <c r="AF17" s="68"/>
      <c r="AG17" s="68"/>
      <c r="AH17" s="68"/>
    </row>
    <row r="18" spans="1:34" ht="12.5" thickTop="1">
      <c r="A18" s="27" t="s">
        <v>47</v>
      </c>
      <c r="B18" s="59"/>
      <c r="D18" s="48"/>
      <c r="E18" s="4"/>
      <c r="F18" s="4"/>
      <c r="G18" s="4"/>
      <c r="H18" s="4"/>
      <c r="I18" s="4"/>
      <c r="J18" s="4"/>
      <c r="K18" s="29"/>
      <c r="L18" s="24"/>
      <c r="S18" s="1">
        <v>1</v>
      </c>
      <c r="T18" s="1">
        <v>0</v>
      </c>
      <c r="U18" s="1">
        <v>1</v>
      </c>
      <c r="V18" s="1">
        <v>1</v>
      </c>
      <c r="W18" s="1">
        <v>1</v>
      </c>
      <c r="X18" s="1">
        <v>1</v>
      </c>
      <c r="Y18" s="1">
        <v>18</v>
      </c>
      <c r="Z18" s="5" t="s">
        <v>48</v>
      </c>
      <c r="AB18" s="6"/>
      <c r="AC18" s="1"/>
      <c r="AD18" s="1"/>
      <c r="AE18" s="1"/>
      <c r="AF18" s="1"/>
      <c r="AG18" s="1"/>
      <c r="AH18" s="1"/>
    </row>
    <row r="19" spans="1:34">
      <c r="A19" s="44" t="s">
        <v>49</v>
      </c>
      <c r="B19" s="61"/>
      <c r="D19" s="48" t="s">
        <v>50</v>
      </c>
      <c r="E19" s="30">
        <f ca="1">E12</f>
        <v>-2.3916723420189654</v>
      </c>
      <c r="F19" s="31">
        <f t="shared" ref="F19:J19" ca="1" si="2">F12</f>
        <v>-0.27339090147589945</v>
      </c>
      <c r="G19" s="31">
        <f t="shared" ca="1" si="2"/>
        <v>1.9230298589884307</v>
      </c>
      <c r="H19" s="31">
        <f t="shared" ca="1" si="2"/>
        <v>-1.7293186064838157</v>
      </c>
      <c r="I19" s="31">
        <f t="shared" ca="1" si="2"/>
        <v>-0.25900098588963749</v>
      </c>
      <c r="J19" s="32">
        <f t="shared" ca="1" si="2"/>
        <v>-0.60140975681318121</v>
      </c>
      <c r="K19" s="28"/>
      <c r="L19" s="26"/>
      <c r="M19" s="7"/>
      <c r="S19" s="1">
        <v>1</v>
      </c>
      <c r="T19" s="1">
        <v>0</v>
      </c>
      <c r="U19" s="1">
        <v>1</v>
      </c>
      <c r="V19" s="1">
        <v>1</v>
      </c>
      <c r="W19" s="1">
        <v>0</v>
      </c>
      <c r="X19" s="1">
        <v>0</v>
      </c>
      <c r="Y19" s="1">
        <v>19</v>
      </c>
      <c r="Z19" s="7" t="s">
        <v>51</v>
      </c>
      <c r="AA19" s="1">
        <v>100</v>
      </c>
      <c r="AB19" s="6"/>
      <c r="AC19" s="1"/>
      <c r="AD19" s="1"/>
      <c r="AE19" s="1"/>
      <c r="AF19" s="1"/>
      <c r="AG19" s="1"/>
      <c r="AH19" s="1"/>
    </row>
    <row r="20" spans="1:34">
      <c r="A20" s="44" t="s">
        <v>52</v>
      </c>
      <c r="B20" s="61"/>
      <c r="D20" s="48" t="s">
        <v>50</v>
      </c>
      <c r="E20" s="33">
        <f ca="1">MMULT(P1i,Pmlt1)</f>
        <v>-1.6024441272092527</v>
      </c>
      <c r="F20" s="34">
        <f ca="1">MMULT(P1i,Pmlt1)</f>
        <v>-1.6024441272092527</v>
      </c>
      <c r="G20" s="34">
        <f ca="1">MMULT(P1i,Pmlt3)</f>
        <v>-0.46864248303053468</v>
      </c>
      <c r="H20" s="34">
        <f ca="1">MMULT(P1i,Pmlt4)</f>
        <v>-0.33868063486092204</v>
      </c>
      <c r="I20" s="34">
        <f ca="1">MMULT(P1i,Pmlt5)</f>
        <v>1.6496389575125312</v>
      </c>
      <c r="J20" s="35">
        <f ca="1">MMULT(P1i,Pmlt6)</f>
        <v>-0.66669949019820374</v>
      </c>
      <c r="K20" s="28"/>
      <c r="L20" s="4"/>
      <c r="M20" s="7"/>
      <c r="S20" s="1">
        <v>1</v>
      </c>
      <c r="T20" s="1">
        <v>0</v>
      </c>
      <c r="U20" s="1">
        <v>1</v>
      </c>
      <c r="V20" s="1">
        <v>1</v>
      </c>
      <c r="W20" s="1">
        <v>0</v>
      </c>
      <c r="X20" s="1">
        <v>0</v>
      </c>
      <c r="Y20" s="1">
        <v>20</v>
      </c>
      <c r="Z20" s="1" t="s">
        <v>53</v>
      </c>
      <c r="AA20" s="1">
        <v>0.5</v>
      </c>
      <c r="AB20" s="1"/>
      <c r="AC20" s="1"/>
      <c r="AD20" s="1"/>
      <c r="AE20" s="1"/>
      <c r="AF20" s="1"/>
      <c r="AG20" s="1"/>
      <c r="AH20" s="1"/>
    </row>
    <row r="21" spans="1:34">
      <c r="A21" s="27" t="s">
        <v>10</v>
      </c>
      <c r="B21" s="61"/>
      <c r="D21" s="48" t="s">
        <v>50</v>
      </c>
      <c r="E21" s="33">
        <f ca="1" xml:space="preserve"> IF(E8&gt;F8,1,0)</f>
        <v>0</v>
      </c>
      <c r="F21" s="34">
        <f ca="1" xml:space="preserve"> IF(F8&gt;G8,1,0)</f>
        <v>0</v>
      </c>
      <c r="G21" s="34">
        <f ca="1" xml:space="preserve"> IF(H8&gt;G8,1,0)</f>
        <v>1</v>
      </c>
      <c r="H21" s="34">
        <f ca="1" xml:space="preserve"> IF(H8&gt;I8,1,0)</f>
        <v>0</v>
      </c>
      <c r="I21" s="34">
        <f ca="1" xml:space="preserve"> IF(I8&gt;J8,1,0)</f>
        <v>1</v>
      </c>
      <c r="J21" s="35">
        <f ca="1">IF(J8&gt;0,1,0)</f>
        <v>0</v>
      </c>
      <c r="K21" s="28"/>
      <c r="L21" s="4"/>
      <c r="M21" s="7"/>
      <c r="S21" s="1">
        <v>1</v>
      </c>
      <c r="T21" s="1">
        <v>0</v>
      </c>
      <c r="U21" s="1">
        <v>1</v>
      </c>
      <c r="V21" s="1">
        <v>0</v>
      </c>
      <c r="W21" s="1">
        <v>1</v>
      </c>
      <c r="X21" s="1">
        <v>1</v>
      </c>
      <c r="Y21" s="1">
        <v>21</v>
      </c>
      <c r="AB21" s="1"/>
      <c r="AC21" s="1"/>
      <c r="AD21" s="1"/>
      <c r="AE21" s="1"/>
      <c r="AF21" s="1"/>
      <c r="AG21" s="1"/>
      <c r="AH21" s="1"/>
    </row>
    <row r="22" spans="1:34">
      <c r="A22" s="44"/>
      <c r="B22" s="60"/>
      <c r="D22" s="6" t="s">
        <v>54</v>
      </c>
      <c r="E22" s="36">
        <f ca="1">CORREL(E17:F17,I15:J15)</f>
        <v>1</v>
      </c>
      <c r="F22" s="37">
        <f ca="1">CORREL(E15:F15,I17:J17)</f>
        <v>0.99999999999999989</v>
      </c>
      <c r="G22" s="37">
        <f ca="1">CORREL(H15:J15, E17:G17)</f>
        <v>-0.99190791698313419</v>
      </c>
      <c r="H22" s="37">
        <f ca="1">CORREL(E15:J15,E17:J17)</f>
        <v>-0.12696506056526732</v>
      </c>
      <c r="I22" s="37">
        <f ca="1">CORREL(E15:G15,H15:J15)</f>
        <v>0.72617716162682833</v>
      </c>
      <c r="J22" s="38">
        <f ca="1">CORREL( E15:G15,H17:J17)</f>
        <v>0.70373027750556838</v>
      </c>
      <c r="K22" s="28"/>
      <c r="L22" s="4"/>
      <c r="S22" s="1">
        <v>1</v>
      </c>
      <c r="T22" s="1">
        <v>0</v>
      </c>
      <c r="U22" s="1">
        <v>1</v>
      </c>
      <c r="V22" s="1">
        <v>0</v>
      </c>
      <c r="W22" s="1">
        <v>1</v>
      </c>
      <c r="X22" s="1">
        <v>1</v>
      </c>
      <c r="Y22" s="1">
        <v>22</v>
      </c>
      <c r="Z22" s="68"/>
      <c r="AB22" s="1"/>
      <c r="AC22" s="7">
        <f t="shared" ref="AC22:AH22" ca="1" si="3">$AA$20-(AC31)</f>
        <v>-0.12431892232291986</v>
      </c>
      <c r="AD22" s="7">
        <f t="shared" ca="1" si="3"/>
        <v>-0.48636475645483668</v>
      </c>
      <c r="AE22" s="7">
        <f t="shared" ca="1" si="3"/>
        <v>0.13272458450839197</v>
      </c>
      <c r="AF22" s="7">
        <f t="shared" ca="1" si="3"/>
        <v>-0.21908112696109305</v>
      </c>
      <c r="AG22" s="7">
        <f t="shared" ca="1" si="3"/>
        <v>-0.46604879117268572</v>
      </c>
      <c r="AH22" s="7">
        <f t="shared" ca="1" si="3"/>
        <v>-0.26234153820879991</v>
      </c>
    </row>
    <row r="23" spans="1:34">
      <c r="A23" s="27"/>
      <c r="B23" s="60"/>
      <c r="D23" s="48" t="s">
        <v>55</v>
      </c>
      <c r="E23" s="39">
        <f ca="1">CORREL(F15:G15,H17:I17)</f>
        <v>-1</v>
      </c>
      <c r="F23" s="40">
        <f ca="1">CORREL(E15:G15,H15:J15)</f>
        <v>0.72617716162682833</v>
      </c>
      <c r="G23" s="41">
        <f ca="1">CORREL(F15:H15,F17:H17)</f>
        <v>0.9747221808112847</v>
      </c>
      <c r="H23" s="41">
        <f ca="1">CORREL(F17:G17,F15:G15)</f>
        <v>1</v>
      </c>
      <c r="I23" s="40">
        <f ca="1">CORREL(G15:H15,I15:J15)</f>
        <v>1</v>
      </c>
      <c r="J23" s="42">
        <f ca="1">CORREL(E15:E17, J15:J17)</f>
        <v>1.0000000000000002</v>
      </c>
      <c r="K23" s="28"/>
      <c r="L23" s="4"/>
      <c r="S23" s="1">
        <v>1</v>
      </c>
      <c r="T23" s="1">
        <v>0</v>
      </c>
      <c r="U23" s="1">
        <v>1</v>
      </c>
      <c r="V23" s="1">
        <v>0</v>
      </c>
      <c r="W23" s="1">
        <v>0</v>
      </c>
      <c r="X23" s="1">
        <v>0</v>
      </c>
      <c r="Y23" s="1">
        <v>23</v>
      </c>
      <c r="AB23" s="1"/>
      <c r="AC23" s="7">
        <f t="shared" ref="AC23:AH24" ca="1" si="4">AC23+(AC22-AC23)/$AA$19</f>
        <v>-4.6183026190313468E-2</v>
      </c>
      <c r="AD23" s="7">
        <f t="shared" ca="1" si="4"/>
        <v>-2.1584550310303263E-2</v>
      </c>
      <c r="AE23" s="7">
        <f t="shared" ca="1" si="4"/>
        <v>-3.3402492551809708E-2</v>
      </c>
      <c r="AF23" s="7">
        <f t="shared" ca="1" si="4"/>
        <v>-3.1726354494013891E-2</v>
      </c>
      <c r="AG23" s="7">
        <f t="shared" ca="1" si="4"/>
        <v>-2.6635759595217585E-2</v>
      </c>
      <c r="AH23" s="7">
        <f t="shared" ca="1" si="4"/>
        <v>-1.2564345292056061E-2</v>
      </c>
    </row>
    <row r="24" spans="1:34">
      <c r="A24" s="3"/>
      <c r="B24" s="68"/>
      <c r="D24" s="13"/>
      <c r="E24" s="15" t="s">
        <v>10</v>
      </c>
      <c r="F24" s="15"/>
      <c r="I24" s="15"/>
      <c r="J24" s="15"/>
      <c r="K24" s="68"/>
      <c r="L24" s="7"/>
      <c r="M24" s="1" t="s">
        <v>10</v>
      </c>
      <c r="S24" s="1">
        <v>1</v>
      </c>
      <c r="T24" s="1">
        <v>0</v>
      </c>
      <c r="U24" s="1">
        <v>1</v>
      </c>
      <c r="V24" s="1">
        <v>0</v>
      </c>
      <c r="W24" s="1">
        <v>0</v>
      </c>
      <c r="X24" s="1">
        <v>0</v>
      </c>
      <c r="Y24" s="1">
        <v>24</v>
      </c>
      <c r="AB24" s="1"/>
      <c r="AC24" s="7">
        <f t="shared" ca="1" si="4"/>
        <v>-2.3467263591344767E-2</v>
      </c>
      <c r="AD24" s="7">
        <f t="shared" ca="1" si="4"/>
        <v>-2.9499595243015025E-2</v>
      </c>
      <c r="AE24" s="7">
        <f t="shared" ca="1" si="4"/>
        <v>-1.8321362381805505E-2</v>
      </c>
      <c r="AF24" s="7">
        <f t="shared" ca="1" si="4"/>
        <v>-1.0814414422458759E-2</v>
      </c>
      <c r="AG24" s="7">
        <f t="shared" ca="1" si="4"/>
        <v>-1.6071708322467581E-2</v>
      </c>
      <c r="AH24" s="7">
        <f t="shared" ca="1" si="4"/>
        <v>-1.5387587356031546E-2</v>
      </c>
    </row>
    <row r="25" spans="1:34">
      <c r="A25" s="68"/>
      <c r="B25" s="68"/>
      <c r="K25" s="68"/>
      <c r="L25" s="7"/>
      <c r="S25" s="1">
        <v>1</v>
      </c>
      <c r="T25" s="1">
        <v>0</v>
      </c>
      <c r="U25" s="1">
        <v>0</v>
      </c>
      <c r="V25" s="1">
        <v>1</v>
      </c>
      <c r="W25" s="1">
        <v>1</v>
      </c>
      <c r="X25" s="1">
        <v>1</v>
      </c>
      <c r="Y25" s="1">
        <v>25</v>
      </c>
      <c r="Z25" s="68"/>
      <c r="AB25" s="6"/>
      <c r="AC25" s="7">
        <f t="shared" ref="AC25:AH26" ca="1" si="5">AC25+(AC24-AC25)/$AA$19</f>
        <v>-6.9259502789049141E-3</v>
      </c>
      <c r="AD25" s="7">
        <f t="shared" ca="1" si="5"/>
        <v>-2.3060682745181325E-2</v>
      </c>
      <c r="AE25" s="7">
        <f t="shared" ca="1" si="5"/>
        <v>-1.1982862292289412E-2</v>
      </c>
      <c r="AF25" s="7">
        <f t="shared" ca="1" si="5"/>
        <v>-1.6893008102802063E-2</v>
      </c>
      <c r="AG25" s="7">
        <f t="shared" ca="1" si="5"/>
        <v>-2.3641350686613646E-2</v>
      </c>
      <c r="AH25" s="7">
        <f t="shared" ca="1" si="5"/>
        <v>-1.5976137784526452E-2</v>
      </c>
    </row>
    <row r="26" spans="1:34">
      <c r="A26" s="68"/>
      <c r="B26" s="68"/>
      <c r="K26" s="28"/>
      <c r="L26" s="7"/>
      <c r="S26" s="1">
        <v>1</v>
      </c>
      <c r="T26" s="1">
        <v>0</v>
      </c>
      <c r="U26" s="1">
        <v>0</v>
      </c>
      <c r="V26" s="1">
        <v>1</v>
      </c>
      <c r="W26" s="1">
        <v>1</v>
      </c>
      <c r="X26" s="1">
        <v>1</v>
      </c>
      <c r="Y26" s="1">
        <v>26</v>
      </c>
      <c r="Z26" s="68"/>
      <c r="AB26" s="6"/>
      <c r="AC26" s="7">
        <f t="shared" ca="1" si="5"/>
        <v>-9.997364652196384E-4</v>
      </c>
      <c r="AD26" s="7">
        <f t="shared" ca="1" si="5"/>
        <v>-1.4552488437766792E-2</v>
      </c>
      <c r="AE26" s="7">
        <f t="shared" ca="1" si="5"/>
        <v>-9.7629951464988339E-3</v>
      </c>
      <c r="AF26" s="7">
        <f t="shared" ca="1" si="5"/>
        <v>-2.1355954682986518E-2</v>
      </c>
      <c r="AG26" s="7">
        <f t="shared" ca="1" si="5"/>
        <v>-2.6964603819887769E-2</v>
      </c>
      <c r="AH26" s="7">
        <f t="shared" ca="1" si="5"/>
        <v>-7.2332064105499298E-3</v>
      </c>
    </row>
    <row r="27" spans="1:34">
      <c r="A27" s="68"/>
      <c r="B27" s="68"/>
      <c r="K27" s="68"/>
      <c r="L27" s="7"/>
      <c r="S27" s="1">
        <v>1</v>
      </c>
      <c r="T27" s="1">
        <v>0</v>
      </c>
      <c r="U27" s="1">
        <v>0</v>
      </c>
      <c r="V27" s="1">
        <v>1</v>
      </c>
      <c r="W27" s="1">
        <v>0</v>
      </c>
      <c r="X27" s="1">
        <v>0</v>
      </c>
      <c r="Y27" s="1">
        <v>27</v>
      </c>
      <c r="Z27" s="68"/>
      <c r="AB27" s="6"/>
      <c r="AC27" s="7"/>
      <c r="AD27" s="7"/>
      <c r="AE27" s="7"/>
      <c r="AF27" s="7"/>
      <c r="AG27" s="7"/>
      <c r="AH27" s="7"/>
    </row>
    <row r="28" spans="1:34">
      <c r="A28" s="68"/>
      <c r="B28" s="68"/>
      <c r="K28" s="4"/>
      <c r="L28" s="7"/>
      <c r="S28" s="1">
        <v>1</v>
      </c>
      <c r="T28" s="1">
        <v>0</v>
      </c>
      <c r="U28" s="1">
        <v>0</v>
      </c>
      <c r="V28" s="1">
        <v>1</v>
      </c>
      <c r="W28" s="1">
        <v>0</v>
      </c>
      <c r="X28" s="1">
        <v>0</v>
      </c>
      <c r="Y28" s="1">
        <v>28</v>
      </c>
      <c r="Z28" s="68"/>
      <c r="AB28" s="6"/>
      <c r="AC28" s="7"/>
      <c r="AD28" s="7"/>
      <c r="AE28" s="7"/>
      <c r="AF28" s="7"/>
      <c r="AG28" s="7"/>
      <c r="AH28" s="7"/>
    </row>
    <row r="29" spans="1:34">
      <c r="A29" s="68"/>
      <c r="B29" s="68"/>
      <c r="K29" s="68"/>
      <c r="L29" s="7"/>
      <c r="S29" s="1">
        <v>1</v>
      </c>
      <c r="T29" s="1">
        <v>0</v>
      </c>
      <c r="U29" s="1">
        <v>0</v>
      </c>
      <c r="V29" s="1">
        <v>0</v>
      </c>
      <c r="W29" s="1">
        <v>1</v>
      </c>
      <c r="X29" s="1">
        <v>1</v>
      </c>
      <c r="Y29" s="1">
        <v>29</v>
      </c>
      <c r="Z29" s="68"/>
      <c r="AB29" s="6"/>
      <c r="AC29" s="7"/>
      <c r="AD29" s="7"/>
      <c r="AE29" s="7"/>
      <c r="AF29" s="7"/>
      <c r="AG29" s="7"/>
      <c r="AH29" s="7"/>
    </row>
    <row r="30" spans="1:34">
      <c r="A30" s="68"/>
      <c r="B30" s="68"/>
      <c r="K30" s="68"/>
      <c r="S30" s="1">
        <v>1</v>
      </c>
      <c r="T30" s="1">
        <v>0</v>
      </c>
      <c r="U30" s="1">
        <v>0</v>
      </c>
      <c r="V30" s="1">
        <v>0</v>
      </c>
      <c r="W30" s="1">
        <v>1</v>
      </c>
      <c r="X30" s="1">
        <v>1</v>
      </c>
      <c r="Y30" s="1">
        <v>30</v>
      </c>
      <c r="Z30" s="68" t="s">
        <v>10</v>
      </c>
      <c r="AB30" s="6"/>
      <c r="AC30" s="8">
        <f ca="1">MOD(3*(AC30+1),36523)</f>
        <v>31886</v>
      </c>
      <c r="AD30" s="8">
        <f ca="1">MOD(3*(AD30+5),36523)</f>
        <v>35044</v>
      </c>
      <c r="AE30" s="8">
        <f ca="1">MOD(3*(AE30+12),36523)</f>
        <v>3755</v>
      </c>
      <c r="AF30" s="8">
        <f ca="1">MOD(3*(AF30+300),36523)</f>
        <v>6643</v>
      </c>
      <c r="AG30" s="8">
        <f ca="1">MOD(3*(AG30+100),36523)</f>
        <v>33103</v>
      </c>
      <c r="AH30" s="8">
        <f ca="1">MOD(3*(AH30+700),36523)</f>
        <v>12583</v>
      </c>
    </row>
    <row r="31" spans="1:34">
      <c r="A31" s="68"/>
      <c r="B31" s="68"/>
      <c r="K31" s="68"/>
      <c r="S31" s="1">
        <v>1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31</v>
      </c>
      <c r="Z31" s="68"/>
      <c r="AB31" s="6"/>
      <c r="AC31" s="7">
        <f t="shared" ref="AC31:AH31" ca="1" si="6">AC30/36523</f>
        <v>0.87303890699011577</v>
      </c>
      <c r="AD31" s="7">
        <f t="shared" ca="1" si="6"/>
        <v>0.95950496947129205</v>
      </c>
      <c r="AE31" s="7">
        <f t="shared" ca="1" si="6"/>
        <v>0.10281192673110096</v>
      </c>
      <c r="AF31" s="7">
        <f t="shared" ca="1" si="6"/>
        <v>0.18188538729020071</v>
      </c>
      <c r="AG31" s="7">
        <f t="shared" ca="1" si="6"/>
        <v>0.90636037565369765</v>
      </c>
      <c r="AH31" s="7">
        <f t="shared" ca="1" si="6"/>
        <v>0.3445226295758837</v>
      </c>
    </row>
    <row r="32" spans="1:34">
      <c r="A32" s="68"/>
      <c r="B32" s="68"/>
      <c r="K32" s="68"/>
      <c r="S32" s="1">
        <v>1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32</v>
      </c>
      <c r="AB32" s="68"/>
      <c r="AC32" s="68"/>
      <c r="AD32" s="68"/>
      <c r="AE32" s="68"/>
      <c r="AF32" s="68"/>
      <c r="AG32" s="68"/>
      <c r="AH32" s="68"/>
    </row>
    <row r="33" spans="19:25">
      <c r="S33" s="1">
        <v>0</v>
      </c>
      <c r="T33" s="1">
        <v>1</v>
      </c>
      <c r="U33" s="1">
        <v>1</v>
      </c>
      <c r="V33" s="1">
        <v>1</v>
      </c>
      <c r="W33" s="1">
        <v>1</v>
      </c>
      <c r="X33" s="1">
        <v>1</v>
      </c>
      <c r="Y33" s="1">
        <v>33</v>
      </c>
    </row>
    <row r="34" spans="19:25">
      <c r="S34" s="1">
        <v>0</v>
      </c>
      <c r="T34" s="1">
        <v>1</v>
      </c>
      <c r="U34" s="1">
        <v>1</v>
      </c>
      <c r="V34" s="1">
        <v>1</v>
      </c>
      <c r="W34" s="1">
        <v>1</v>
      </c>
      <c r="X34" s="1">
        <v>0</v>
      </c>
      <c r="Y34" s="1">
        <v>34</v>
      </c>
    </row>
    <row r="35" spans="19:25">
      <c r="S35" s="1">
        <v>0</v>
      </c>
      <c r="T35" s="1">
        <v>1</v>
      </c>
      <c r="U35" s="1">
        <v>1</v>
      </c>
      <c r="V35" s="1">
        <v>1</v>
      </c>
      <c r="W35" s="1">
        <v>0</v>
      </c>
      <c r="X35" s="1">
        <v>1</v>
      </c>
      <c r="Y35" s="1">
        <v>35</v>
      </c>
    </row>
    <row r="36" spans="19:25">
      <c r="S36" s="1">
        <v>0</v>
      </c>
      <c r="T36" s="1">
        <v>1</v>
      </c>
      <c r="U36" s="1">
        <v>1</v>
      </c>
      <c r="V36" s="1">
        <v>1</v>
      </c>
      <c r="W36" s="1">
        <v>0</v>
      </c>
      <c r="X36" s="1">
        <v>0</v>
      </c>
      <c r="Y36" s="1">
        <v>36</v>
      </c>
    </row>
    <row r="37" spans="19:25">
      <c r="S37" s="1">
        <v>0</v>
      </c>
      <c r="T37" s="1">
        <v>1</v>
      </c>
      <c r="U37" s="1">
        <v>1</v>
      </c>
      <c r="V37" s="1">
        <v>0</v>
      </c>
      <c r="W37" s="1">
        <v>1</v>
      </c>
      <c r="X37" s="1">
        <v>1</v>
      </c>
      <c r="Y37" s="1">
        <v>37</v>
      </c>
    </row>
    <row r="38" spans="19:25">
      <c r="S38" s="1">
        <v>0</v>
      </c>
      <c r="T38" s="1">
        <v>1</v>
      </c>
      <c r="U38" s="1">
        <v>1</v>
      </c>
      <c r="V38" s="1">
        <v>0</v>
      </c>
      <c r="W38" s="1">
        <v>1</v>
      </c>
      <c r="X38" s="1">
        <v>0</v>
      </c>
      <c r="Y38" s="1">
        <v>38</v>
      </c>
    </row>
    <row r="39" spans="19:25">
      <c r="S39" s="1">
        <v>0</v>
      </c>
      <c r="T39" s="1">
        <v>1</v>
      </c>
      <c r="U39" s="1">
        <v>1</v>
      </c>
      <c r="V39" s="1">
        <v>0</v>
      </c>
      <c r="W39" s="1">
        <v>0</v>
      </c>
      <c r="X39" s="1">
        <v>1</v>
      </c>
      <c r="Y39" s="1">
        <v>39</v>
      </c>
    </row>
    <row r="40" spans="19:25">
      <c r="S40" s="1">
        <v>0</v>
      </c>
      <c r="T40" s="1">
        <v>1</v>
      </c>
      <c r="U40" s="1">
        <v>1</v>
      </c>
      <c r="V40" s="1">
        <v>0</v>
      </c>
      <c r="W40" s="1">
        <v>0</v>
      </c>
      <c r="X40" s="1">
        <v>0</v>
      </c>
      <c r="Y40" s="1">
        <v>40</v>
      </c>
    </row>
    <row r="41" spans="19:25">
      <c r="S41" s="1">
        <v>0</v>
      </c>
      <c r="T41" s="1">
        <v>1</v>
      </c>
      <c r="U41" s="1">
        <v>0</v>
      </c>
      <c r="V41" s="1">
        <v>1</v>
      </c>
      <c r="W41" s="1">
        <v>1</v>
      </c>
      <c r="X41" s="1">
        <v>1</v>
      </c>
      <c r="Y41" s="1">
        <v>41</v>
      </c>
    </row>
    <row r="42" spans="19:25">
      <c r="S42" s="1">
        <v>0</v>
      </c>
      <c r="T42" s="1">
        <v>1</v>
      </c>
      <c r="U42" s="1">
        <v>0</v>
      </c>
      <c r="V42" s="1">
        <v>1</v>
      </c>
      <c r="W42" s="1">
        <v>1</v>
      </c>
      <c r="X42" s="1">
        <v>0</v>
      </c>
      <c r="Y42" s="1">
        <v>42</v>
      </c>
    </row>
    <row r="43" spans="19:25">
      <c r="S43" s="1">
        <v>0</v>
      </c>
      <c r="T43" s="1">
        <v>1</v>
      </c>
      <c r="U43" s="1">
        <v>0</v>
      </c>
      <c r="V43" s="1">
        <v>1</v>
      </c>
      <c r="W43" s="1">
        <v>0</v>
      </c>
      <c r="X43" s="1">
        <v>1</v>
      </c>
      <c r="Y43" s="1">
        <v>43</v>
      </c>
    </row>
    <row r="44" spans="19:25">
      <c r="S44" s="1">
        <v>0</v>
      </c>
      <c r="T44" s="1">
        <v>1</v>
      </c>
      <c r="U44" s="1">
        <v>0</v>
      </c>
      <c r="V44" s="1">
        <v>1</v>
      </c>
      <c r="W44" s="1">
        <v>0</v>
      </c>
      <c r="X44" s="1">
        <v>0</v>
      </c>
      <c r="Y44" s="1">
        <v>44</v>
      </c>
    </row>
    <row r="45" spans="19:25">
      <c r="S45" s="1">
        <v>0</v>
      </c>
      <c r="T45" s="1">
        <v>1</v>
      </c>
      <c r="U45" s="1">
        <v>0</v>
      </c>
      <c r="V45" s="1">
        <v>0</v>
      </c>
      <c r="W45" s="1">
        <v>1</v>
      </c>
      <c r="X45" s="1">
        <v>1</v>
      </c>
      <c r="Y45" s="1">
        <v>45</v>
      </c>
    </row>
    <row r="46" spans="19:25">
      <c r="S46" s="1">
        <v>0</v>
      </c>
      <c r="T46" s="1">
        <v>1</v>
      </c>
      <c r="U46" s="1">
        <v>0</v>
      </c>
      <c r="V46" s="1">
        <v>0</v>
      </c>
      <c r="W46" s="1">
        <v>1</v>
      </c>
      <c r="X46" s="1">
        <v>0</v>
      </c>
      <c r="Y46" s="1">
        <v>46</v>
      </c>
    </row>
    <row r="47" spans="19:25">
      <c r="S47" s="1">
        <v>0</v>
      </c>
      <c r="T47" s="1">
        <v>1</v>
      </c>
      <c r="U47" s="1">
        <v>0</v>
      </c>
      <c r="V47" s="1">
        <v>0</v>
      </c>
      <c r="W47" s="1">
        <v>0</v>
      </c>
      <c r="X47" s="1">
        <v>1</v>
      </c>
      <c r="Y47" s="1">
        <v>47</v>
      </c>
    </row>
    <row r="48" spans="19:25">
      <c r="S48" s="1">
        <v>0</v>
      </c>
      <c r="T48" s="1">
        <v>1</v>
      </c>
      <c r="U48" s="1">
        <v>0</v>
      </c>
      <c r="V48" s="1">
        <v>0</v>
      </c>
      <c r="W48" s="1">
        <v>0</v>
      </c>
      <c r="X48" s="1">
        <v>0</v>
      </c>
      <c r="Y48" s="1">
        <v>48</v>
      </c>
    </row>
    <row r="49" spans="19:25">
      <c r="S49" s="1">
        <v>0</v>
      </c>
      <c r="T49" s="1">
        <v>0</v>
      </c>
      <c r="U49" s="1">
        <v>1</v>
      </c>
      <c r="V49" s="1">
        <v>1</v>
      </c>
      <c r="W49" s="1">
        <v>1</v>
      </c>
      <c r="X49" s="1">
        <v>1</v>
      </c>
      <c r="Y49" s="1">
        <v>49</v>
      </c>
    </row>
    <row r="50" spans="19:25">
      <c r="S50" s="1">
        <v>0</v>
      </c>
      <c r="T50" s="1">
        <v>0</v>
      </c>
      <c r="U50" s="1">
        <v>1</v>
      </c>
      <c r="V50" s="1">
        <v>1</v>
      </c>
      <c r="W50" s="1">
        <v>1</v>
      </c>
      <c r="X50" s="1">
        <v>1</v>
      </c>
      <c r="Y50" s="1">
        <v>50</v>
      </c>
    </row>
    <row r="51" spans="19:25">
      <c r="S51" s="1">
        <v>0</v>
      </c>
      <c r="T51" s="1">
        <v>0</v>
      </c>
      <c r="U51" s="1">
        <v>1</v>
      </c>
      <c r="V51" s="1">
        <v>1</v>
      </c>
      <c r="W51" s="1">
        <v>0</v>
      </c>
      <c r="X51" s="1">
        <v>0</v>
      </c>
      <c r="Y51" s="1">
        <v>51</v>
      </c>
    </row>
    <row r="52" spans="19:25">
      <c r="S52" s="1">
        <v>0</v>
      </c>
      <c r="T52" s="1">
        <v>0</v>
      </c>
      <c r="U52" s="1">
        <v>1</v>
      </c>
      <c r="V52" s="1">
        <v>1</v>
      </c>
      <c r="W52" s="1">
        <v>0</v>
      </c>
      <c r="X52" s="1">
        <v>0</v>
      </c>
      <c r="Y52" s="1">
        <v>52</v>
      </c>
    </row>
    <row r="53" spans="19:25">
      <c r="S53" s="1">
        <v>0</v>
      </c>
      <c r="T53" s="1">
        <v>0</v>
      </c>
      <c r="U53" s="1">
        <v>1</v>
      </c>
      <c r="V53" s="1">
        <v>0</v>
      </c>
      <c r="W53" s="1">
        <v>1</v>
      </c>
      <c r="X53" s="1">
        <v>1</v>
      </c>
      <c r="Y53" s="1">
        <v>53</v>
      </c>
    </row>
    <row r="54" spans="19:25">
      <c r="S54" s="1">
        <v>0</v>
      </c>
      <c r="T54" s="1">
        <v>0</v>
      </c>
      <c r="U54" s="1">
        <v>1</v>
      </c>
      <c r="V54" s="1">
        <v>0</v>
      </c>
      <c r="W54" s="1">
        <v>1</v>
      </c>
      <c r="X54" s="1">
        <v>1</v>
      </c>
      <c r="Y54" s="1">
        <v>54</v>
      </c>
    </row>
    <row r="55" spans="19:25">
      <c r="S55" s="1">
        <v>0</v>
      </c>
      <c r="T55" s="1">
        <v>0</v>
      </c>
      <c r="U55" s="1">
        <v>1</v>
      </c>
      <c r="V55" s="1">
        <v>0</v>
      </c>
      <c r="W55" s="1">
        <v>0</v>
      </c>
      <c r="X55" s="1">
        <v>0</v>
      </c>
      <c r="Y55" s="1">
        <v>55</v>
      </c>
    </row>
    <row r="56" spans="19:25">
      <c r="S56" s="1">
        <v>0</v>
      </c>
      <c r="T56" s="1">
        <v>0</v>
      </c>
      <c r="U56" s="1">
        <v>1</v>
      </c>
      <c r="V56" s="1">
        <v>0</v>
      </c>
      <c r="W56" s="1">
        <v>0</v>
      </c>
      <c r="X56" s="1">
        <v>0</v>
      </c>
      <c r="Y56" s="1">
        <v>56</v>
      </c>
    </row>
    <row r="57" spans="19:25">
      <c r="S57" s="1">
        <v>0</v>
      </c>
      <c r="T57" s="1">
        <v>0</v>
      </c>
      <c r="U57" s="1">
        <v>0</v>
      </c>
      <c r="V57" s="1">
        <v>1</v>
      </c>
      <c r="W57" s="1">
        <v>1</v>
      </c>
      <c r="X57" s="1">
        <v>1</v>
      </c>
      <c r="Y57" s="1">
        <v>57</v>
      </c>
    </row>
    <row r="58" spans="19:25">
      <c r="S58" s="1">
        <v>0</v>
      </c>
      <c r="T58" s="1">
        <v>0</v>
      </c>
      <c r="U58" s="1">
        <v>0</v>
      </c>
      <c r="V58" s="1">
        <v>1</v>
      </c>
      <c r="W58" s="1">
        <v>1</v>
      </c>
      <c r="X58" s="1">
        <v>1</v>
      </c>
      <c r="Y58" s="1">
        <v>58</v>
      </c>
    </row>
    <row r="59" spans="19:25">
      <c r="S59" s="1">
        <v>0</v>
      </c>
      <c r="T59" s="1">
        <v>0</v>
      </c>
      <c r="U59" s="1">
        <v>0</v>
      </c>
      <c r="V59" s="1">
        <v>1</v>
      </c>
      <c r="W59" s="1">
        <v>0</v>
      </c>
      <c r="X59" s="1">
        <v>0</v>
      </c>
      <c r="Y59" s="1">
        <v>59</v>
      </c>
    </row>
    <row r="60" spans="19:25">
      <c r="S60" s="1">
        <v>0</v>
      </c>
      <c r="T60" s="1">
        <v>0</v>
      </c>
      <c r="U60" s="1">
        <v>0</v>
      </c>
      <c r="V60" s="1">
        <v>1</v>
      </c>
      <c r="W60" s="1">
        <v>0</v>
      </c>
      <c r="X60" s="1">
        <v>0</v>
      </c>
      <c r="Y60" s="1">
        <v>60</v>
      </c>
    </row>
    <row r="61" spans="19:25">
      <c r="S61" s="1">
        <v>0</v>
      </c>
      <c r="T61" s="1">
        <v>0</v>
      </c>
      <c r="U61" s="1">
        <v>0</v>
      </c>
      <c r="V61" s="1">
        <v>0</v>
      </c>
      <c r="W61" s="1">
        <v>1</v>
      </c>
      <c r="X61" s="1">
        <v>1</v>
      </c>
      <c r="Y61" s="1">
        <v>61</v>
      </c>
    </row>
    <row r="62" spans="19:25">
      <c r="S62" s="1">
        <v>0</v>
      </c>
      <c r="T62" s="1">
        <v>0</v>
      </c>
      <c r="U62" s="1">
        <v>0</v>
      </c>
      <c r="V62" s="1">
        <v>0</v>
      </c>
      <c r="W62" s="1">
        <v>1</v>
      </c>
      <c r="X62" s="1">
        <v>1</v>
      </c>
      <c r="Y62" s="1">
        <v>62</v>
      </c>
    </row>
    <row r="63" spans="19:25">
      <c r="S63" s="1">
        <v>0</v>
      </c>
      <c r="T63" s="1">
        <v>0</v>
      </c>
      <c r="U63" s="1">
        <v>0</v>
      </c>
      <c r="V63" s="1">
        <v>0</v>
      </c>
      <c r="W63" s="1">
        <v>1</v>
      </c>
      <c r="X63" s="1">
        <v>0</v>
      </c>
      <c r="Y63" s="1">
        <v>63</v>
      </c>
    </row>
    <row r="64" spans="19:25"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1</v>
      </c>
      <c r="Y64" s="1">
        <v>64</v>
      </c>
    </row>
  </sheetData>
  <mergeCells count="2">
    <mergeCell ref="M1:N1"/>
    <mergeCell ref="M9:N9"/>
  </mergeCells>
  <conditionalFormatting sqref="E22:J22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19:J19">
    <cfRule type="iconSet" priority="16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20:J20">
    <cfRule type="iconSet" priority="10">
      <iconSet>
        <cfvo type="percent" val="0"/>
        <cfvo type="percent" val="33"/>
        <cfvo type="percent" val="67"/>
      </iconSet>
    </cfRule>
    <cfRule type="iconSet" priority="13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E7:J8">
    <cfRule type="iconSet" priority="11">
      <iconSet>
        <cfvo type="percent" val="0"/>
        <cfvo type="percent" val="33"/>
        <cfvo type="percent" val="67"/>
      </iconSet>
    </cfRule>
    <cfRule type="iconSet" priority="12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E11:J12">
    <cfRule type="iconSet" priority="6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24:F24 I24:J24">
    <cfRule type="iconSet" priority="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23:J23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5" right="0.75" top="1" bottom="1" header="0.5" footer="0.5"/>
  <pageSetup orientation="landscape" horizontalDpi="200" verticalDpi="200" r:id="rId1"/>
  <headerFooter alignWithMargins="0">
    <oddHeader>&amp;f</oddHeader>
    <oddFooter>Page &amp;p</oddFoot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3" id="{1AA56AD9-C0A1-4446-9392-7DB55723BC8A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E3:J4</xm:sqref>
        </x14:conditionalFormatting>
        <x14:conditionalFormatting xmlns:xm="http://schemas.microsoft.com/office/excel/2006/main">
          <x14:cfRule type="iconSet" priority="22" id="{55D2C886-1756-41B2-9B12-A78432D192F1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E21:J21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88</vt:i4>
      </vt:variant>
    </vt:vector>
  </HeadingPairs>
  <TitlesOfParts>
    <vt:vector size="89" baseType="lpstr">
      <vt:lpstr>New Hierarchical Control Model</vt:lpstr>
      <vt:lpstr>'New Hierarchical Control Model'!_PWi1</vt:lpstr>
      <vt:lpstr>'New Hierarchical Control Model'!_PWi2</vt:lpstr>
      <vt:lpstr>'New Hierarchical Control Model'!_PWi3</vt:lpstr>
      <vt:lpstr>'New Hierarchical Control Model'!_PWi4</vt:lpstr>
      <vt:lpstr>'New Hierarchical Control Model'!_PWi5</vt:lpstr>
      <vt:lpstr>'New Hierarchical Control Model'!_PWi6</vt:lpstr>
      <vt:lpstr>Gain1</vt:lpstr>
      <vt:lpstr>Gain2</vt:lpstr>
      <vt:lpstr>Gain3</vt:lpstr>
      <vt:lpstr>O1.1</vt:lpstr>
      <vt:lpstr>O1.2</vt:lpstr>
      <vt:lpstr>O1.3</vt:lpstr>
      <vt:lpstr>O1.4</vt:lpstr>
      <vt:lpstr>O1.5</vt:lpstr>
      <vt:lpstr>O1.6</vt:lpstr>
      <vt:lpstr>O2.1</vt:lpstr>
      <vt:lpstr>O2.2</vt:lpstr>
      <vt:lpstr>O2.3</vt:lpstr>
      <vt:lpstr>O2.4</vt:lpstr>
      <vt:lpstr>O2.5</vt:lpstr>
      <vt:lpstr>O2.6</vt:lpstr>
      <vt:lpstr>'New Hierarchical Control Model'!O2i</vt:lpstr>
      <vt:lpstr>O3.1</vt:lpstr>
      <vt:lpstr>O3.2</vt:lpstr>
      <vt:lpstr>O3.3</vt:lpstr>
      <vt:lpstr>O3.4</vt:lpstr>
      <vt:lpstr>O3.5</vt:lpstr>
      <vt:lpstr>O3.6</vt:lpstr>
      <vt:lpstr>'New Hierarchical Control Model'!Omlt1</vt:lpstr>
      <vt:lpstr>'New Hierarchical Control Model'!Omlt2</vt:lpstr>
      <vt:lpstr>'New Hierarchical Control Model'!Omlt3</vt:lpstr>
      <vt:lpstr>'New Hierarchical Control Model'!Omlt4</vt:lpstr>
      <vt:lpstr>'New Hierarchical Control Model'!Omlt5</vt:lpstr>
      <vt:lpstr>'New Hierarchical Control Model'!Omlt6</vt:lpstr>
      <vt:lpstr>P1.1</vt:lpstr>
      <vt:lpstr>P1.2</vt:lpstr>
      <vt:lpstr>P1.3</vt:lpstr>
      <vt:lpstr>P1.4</vt:lpstr>
      <vt:lpstr>P1.5</vt:lpstr>
      <vt:lpstr>P1.6</vt:lpstr>
      <vt:lpstr>'New Hierarchical Control Model'!P1i</vt:lpstr>
      <vt:lpstr>P2.1</vt:lpstr>
      <vt:lpstr>P2.2</vt:lpstr>
      <vt:lpstr>P2.3</vt:lpstr>
      <vt:lpstr>P2.4</vt:lpstr>
      <vt:lpstr>P2.5</vt:lpstr>
      <vt:lpstr>P2.6</vt:lpstr>
      <vt:lpstr>P3.1</vt:lpstr>
      <vt:lpstr>P3.2</vt:lpstr>
      <vt:lpstr>P3.3</vt:lpstr>
      <vt:lpstr>P3.4</vt:lpstr>
      <vt:lpstr>P3.5</vt:lpstr>
      <vt:lpstr>P3.6</vt:lpstr>
      <vt:lpstr>'New Hierarchical Control Model'!Pmlt1</vt:lpstr>
      <vt:lpstr>'New Hierarchical Control Model'!Pmlt2</vt:lpstr>
      <vt:lpstr>'New Hierarchical Control Model'!Pmlt3</vt:lpstr>
      <vt:lpstr>'New Hierarchical Control Model'!Pmlt4</vt:lpstr>
      <vt:lpstr>'New Hierarchical Control Model'!Pmlt5</vt:lpstr>
      <vt:lpstr>'New Hierarchical Control Model'!Pmlt6</vt:lpstr>
      <vt:lpstr>pR1.1</vt:lpstr>
      <vt:lpstr>pR1.2</vt:lpstr>
      <vt:lpstr>pR1.3</vt:lpstr>
      <vt:lpstr>pR1.4</vt:lpstr>
      <vt:lpstr>pR1.5</vt:lpstr>
      <vt:lpstr>pR1.6</vt:lpstr>
      <vt:lpstr>pR2.1</vt:lpstr>
      <vt:lpstr>pR2.2</vt:lpstr>
      <vt:lpstr>pR2.3</vt:lpstr>
      <vt:lpstr>pR2.4</vt:lpstr>
      <vt:lpstr>pR2.5</vt:lpstr>
      <vt:lpstr>pR2.6</vt:lpstr>
      <vt:lpstr>pR3.1</vt:lpstr>
      <vt:lpstr>pR3.2</vt:lpstr>
      <vt:lpstr>pR3.3</vt:lpstr>
      <vt:lpstr>pR3.4</vt:lpstr>
      <vt:lpstr>pR3.5</vt:lpstr>
      <vt:lpstr>pR3.6</vt:lpstr>
      <vt:lpstr>'New Hierarchical Control Model'!Print_Area</vt:lpstr>
      <vt:lpstr>'New Hierarchical Control Model'!PW</vt:lpstr>
      <vt:lpstr>Slow1</vt:lpstr>
      <vt:lpstr>Slow2</vt:lpstr>
      <vt:lpstr>Slow3</vt:lpstr>
      <vt:lpstr>v.1</vt:lpstr>
      <vt:lpstr>v.2</vt:lpstr>
      <vt:lpstr>v.3</vt:lpstr>
      <vt:lpstr>v.4</vt:lpstr>
      <vt:lpstr>v.5</vt:lpstr>
      <vt:lpstr>v.6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Rick Marken</cp:lastModifiedBy>
  <cp:revision/>
  <dcterms:created xsi:type="dcterms:W3CDTF">2014-02-02T18:29:48Z</dcterms:created>
  <dcterms:modified xsi:type="dcterms:W3CDTF">2021-06-24T18:03:14Z</dcterms:modified>
  <cp:category/>
  <cp:contentStatus/>
</cp:coreProperties>
</file>